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IZVRŠENJE PRORAČUNA\Izvršenja 2024\"/>
    </mc:Choice>
  </mc:AlternateContent>
  <xr:revisionPtr revIDLastSave="0" documentId="13_ncr:1_{2D9E0AAA-46F9-46F4-89F0-CAEF9D11E1E3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SAŽETAK " sheetId="8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List2" sheetId="2" r:id="rId6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9" i="3" l="1"/>
  <c r="E197" i="3"/>
  <c r="F197" i="3"/>
  <c r="G204" i="3"/>
  <c r="F204" i="3"/>
  <c r="E204" i="3"/>
  <c r="G73" i="3"/>
  <c r="H204" i="3" l="1"/>
  <c r="I204" i="3"/>
  <c r="F52" i="7"/>
  <c r="F49" i="7"/>
  <c r="E52" i="7"/>
  <c r="E49" i="7"/>
  <c r="H123" i="7"/>
  <c r="I123" i="7"/>
  <c r="I119" i="7"/>
  <c r="H119" i="7"/>
  <c r="E119" i="7"/>
  <c r="F119" i="7"/>
  <c r="G124" i="7"/>
  <c r="G123" i="7" s="1"/>
  <c r="F65" i="7"/>
  <c r="E65" i="7"/>
  <c r="G83" i="7"/>
  <c r="G84" i="7"/>
  <c r="G85" i="7"/>
  <c r="G81" i="7"/>
  <c r="G80" i="7" s="1"/>
  <c r="G77" i="7"/>
  <c r="G73" i="7"/>
  <c r="G69" i="7" s="1"/>
  <c r="G65" i="7" s="1"/>
  <c r="G70" i="7"/>
  <c r="G49" i="7"/>
  <c r="G52" i="7"/>
  <c r="G51" i="7"/>
  <c r="G50" i="7"/>
  <c r="G35" i="7"/>
  <c r="G119" i="7" l="1"/>
  <c r="G48" i="7"/>
  <c r="F30" i="8"/>
  <c r="E287" i="3" l="1"/>
  <c r="E59" i="3" l="1"/>
  <c r="E10" i="3"/>
  <c r="E284" i="3"/>
  <c r="E100" i="3"/>
  <c r="E92" i="3"/>
  <c r="E78" i="3"/>
  <c r="E72" i="3"/>
  <c r="E54" i="3"/>
  <c r="E285" i="3"/>
  <c r="E130" i="3"/>
  <c r="E274" i="3"/>
  <c r="E269" i="3"/>
  <c r="E221" i="3"/>
  <c r="E125" i="3"/>
  <c r="E138" i="3"/>
  <c r="E117" i="3"/>
  <c r="E105" i="3"/>
  <c r="E106" i="3"/>
  <c r="E101" i="3"/>
  <c r="E97" i="3"/>
  <c r="E98" i="3"/>
  <c r="E93" i="3"/>
  <c r="E83" i="3"/>
  <c r="E84" i="3"/>
  <c r="E79" i="3"/>
  <c r="E76" i="3"/>
  <c r="E77" i="3"/>
  <c r="E73" i="3"/>
  <c r="E58" i="3"/>
  <c r="E55" i="3"/>
  <c r="E29" i="3"/>
  <c r="E23" i="3"/>
  <c r="G93" i="7" l="1"/>
  <c r="F93" i="7"/>
  <c r="I103" i="7"/>
  <c r="H65" i="7"/>
  <c r="I65" i="7"/>
  <c r="F77" i="3" l="1"/>
  <c r="F54" i="3"/>
  <c r="G284" i="3"/>
  <c r="F284" i="3"/>
  <c r="G93" i="3"/>
  <c r="F269" i="3"/>
  <c r="F221" i="3"/>
  <c r="F105" i="3"/>
  <c r="F106" i="3"/>
  <c r="G101" i="3"/>
  <c r="F101" i="3"/>
  <c r="F73" i="3"/>
  <c r="F83" i="3"/>
  <c r="F84" i="3"/>
  <c r="F79" i="3"/>
  <c r="F58" i="3"/>
  <c r="F59" i="3"/>
  <c r="F55" i="3"/>
  <c r="I52" i="7" l="1"/>
  <c r="H52" i="7"/>
  <c r="I49" i="7"/>
  <c r="H49" i="7"/>
  <c r="G47" i="7"/>
  <c r="G45" i="7" s="1"/>
  <c r="F48" i="7"/>
  <c r="F47" i="7" s="1"/>
  <c r="E48" i="7"/>
  <c r="E47" i="7" s="1"/>
  <c r="F45" i="7" l="1"/>
  <c r="E45" i="7"/>
  <c r="H48" i="7"/>
  <c r="I48" i="7"/>
  <c r="H47" i="7"/>
  <c r="I47" i="7"/>
  <c r="F17" i="5"/>
  <c r="E17" i="5"/>
  <c r="I111" i="7" l="1"/>
  <c r="I113" i="7"/>
  <c r="I114" i="7"/>
  <c r="I115" i="7"/>
  <c r="I96" i="7"/>
  <c r="I97" i="7"/>
  <c r="I98" i="7"/>
  <c r="I99" i="7"/>
  <c r="I101" i="7"/>
  <c r="I102" i="7"/>
  <c r="I104" i="7"/>
  <c r="I105" i="7"/>
  <c r="I106" i="7"/>
  <c r="I107" i="7"/>
  <c r="I108" i="7"/>
  <c r="I109" i="7"/>
  <c r="I110" i="7"/>
  <c r="I36" i="7"/>
  <c r="I38" i="7"/>
  <c r="I40" i="7"/>
  <c r="I23" i="7"/>
  <c r="I10" i="7"/>
  <c r="I15" i="7"/>
  <c r="H108" i="7"/>
  <c r="H109" i="7"/>
  <c r="H110" i="7"/>
  <c r="H111" i="7"/>
  <c r="H112" i="7"/>
  <c r="H113" i="7"/>
  <c r="H114" i="7"/>
  <c r="H115" i="7"/>
  <c r="H94" i="7"/>
  <c r="H96" i="7"/>
  <c r="H97" i="7"/>
  <c r="H98" i="7"/>
  <c r="H99" i="7"/>
  <c r="H101" i="7"/>
  <c r="H102" i="7"/>
  <c r="H103" i="7"/>
  <c r="H104" i="7"/>
  <c r="H105" i="7"/>
  <c r="H106" i="7"/>
  <c r="H107" i="7"/>
  <c r="H36" i="7"/>
  <c r="H37" i="7"/>
  <c r="H38" i="7"/>
  <c r="H40" i="7"/>
  <c r="H23" i="7"/>
  <c r="H10" i="7"/>
  <c r="H15" i="7"/>
  <c r="I45" i="7" l="1"/>
  <c r="H45" i="7"/>
  <c r="I285" i="3"/>
  <c r="I138" i="3"/>
  <c r="I106" i="3"/>
  <c r="I44" i="3"/>
  <c r="I45" i="3"/>
  <c r="I32" i="3"/>
  <c r="I13" i="3"/>
  <c r="I19" i="3"/>
  <c r="I27" i="3"/>
  <c r="I30" i="3"/>
  <c r="H32" i="3"/>
  <c r="H44" i="3"/>
  <c r="H13" i="3"/>
  <c r="H19" i="3"/>
  <c r="H27" i="3"/>
  <c r="H30" i="3"/>
  <c r="H29" i="3" s="1"/>
  <c r="I308" i="3"/>
  <c r="I258" i="3"/>
  <c r="I101" i="3"/>
  <c r="I79" i="3"/>
  <c r="I73" i="3"/>
  <c r="G72" i="3"/>
  <c r="G53" i="3" s="1"/>
  <c r="I58" i="3"/>
  <c r="I55" i="3"/>
  <c r="G60" i="7"/>
  <c r="I77" i="3" l="1"/>
  <c r="I105" i="3"/>
  <c r="I278" i="3"/>
  <c r="I84" i="3"/>
  <c r="H308" i="3"/>
  <c r="I59" i="3"/>
  <c r="I83" i="3"/>
  <c r="G9" i="7"/>
  <c r="G22" i="7"/>
  <c r="G85" i="3" l="1"/>
  <c r="F85" i="3"/>
  <c r="H285" i="3"/>
  <c r="G280" i="3"/>
  <c r="F280" i="3"/>
  <c r="H274" i="3"/>
  <c r="G260" i="3"/>
  <c r="F260" i="3"/>
  <c r="H258" i="3"/>
  <c r="G156" i="3"/>
  <c r="F156" i="3"/>
  <c r="H135" i="3"/>
  <c r="H106" i="3"/>
  <c r="H105" i="3"/>
  <c r="H101" i="3"/>
  <c r="H84" i="3"/>
  <c r="H83" i="3"/>
  <c r="H79" i="3"/>
  <c r="E252" i="3"/>
  <c r="E172" i="3"/>
  <c r="H77" i="3"/>
  <c r="G66" i="3"/>
  <c r="F66" i="3"/>
  <c r="G60" i="3"/>
  <c r="F60" i="3"/>
  <c r="H76" i="3"/>
  <c r="H73" i="3"/>
  <c r="H59" i="3"/>
  <c r="H58" i="3"/>
  <c r="H55" i="3"/>
  <c r="E148" i="3" l="1"/>
  <c r="E196" i="3"/>
  <c r="E53" i="3" s="1"/>
  <c r="E66" i="3"/>
  <c r="E108" i="3"/>
  <c r="E85" i="3"/>
  <c r="E180" i="3"/>
  <c r="E116" i="3"/>
  <c r="E188" i="3"/>
  <c r="E156" i="3"/>
  <c r="H156" i="3" s="1"/>
  <c r="E260" i="3"/>
  <c r="E236" i="3"/>
  <c r="E164" i="3"/>
  <c r="E140" i="3"/>
  <c r="E244" i="3"/>
  <c r="E228" i="3"/>
  <c r="E212" i="3"/>
  <c r="E280" i="3"/>
  <c r="H72" i="3"/>
  <c r="E220" i="3"/>
  <c r="E268" i="3"/>
  <c r="E124" i="3"/>
  <c r="E132" i="3"/>
  <c r="E60" i="3"/>
  <c r="E93" i="7"/>
  <c r="H93" i="7" s="1"/>
  <c r="E35" i="7" l="1"/>
  <c r="E9" i="7" l="1"/>
  <c r="H9" i="7" s="1"/>
  <c r="G300" i="3" l="1"/>
  <c r="F300" i="3"/>
  <c r="E300" i="3"/>
  <c r="G295" i="3"/>
  <c r="F295" i="3"/>
  <c r="E295" i="3"/>
  <c r="F288" i="3"/>
  <c r="G288" i="3"/>
  <c r="E288" i="3"/>
  <c r="E11" i="3"/>
  <c r="E17" i="3"/>
  <c r="E40" i="3"/>
  <c r="F38" i="3"/>
  <c r="G38" i="3"/>
  <c r="E38" i="3"/>
  <c r="B16" i="5" l="1"/>
  <c r="C16" i="5"/>
  <c r="C10" i="5" s="1"/>
  <c r="D16" i="5"/>
  <c r="D10" i="5" s="1"/>
  <c r="F268" i="3"/>
  <c r="F252" i="3"/>
  <c r="F244" i="3"/>
  <c r="F236" i="3"/>
  <c r="F228" i="3"/>
  <c r="F220" i="3"/>
  <c r="F212" i="3"/>
  <c r="F196" i="3"/>
  <c r="F188" i="3"/>
  <c r="F180" i="3"/>
  <c r="F172" i="3"/>
  <c r="F164" i="3"/>
  <c r="F148" i="3"/>
  <c r="F140" i="3"/>
  <c r="F132" i="3"/>
  <c r="F124" i="3"/>
  <c r="F116" i="3"/>
  <c r="F108" i="3"/>
  <c r="F100" i="3"/>
  <c r="F78" i="3"/>
  <c r="F72" i="3"/>
  <c r="F53" i="3" s="1"/>
  <c r="F311" i="3" s="1"/>
  <c r="F23" i="3"/>
  <c r="G23" i="3"/>
  <c r="F11" i="3"/>
  <c r="G11" i="3"/>
  <c r="F17" i="3"/>
  <c r="F40" i="3"/>
  <c r="H11" i="3" l="1"/>
  <c r="I11" i="3"/>
  <c r="H23" i="3"/>
  <c r="I23" i="3"/>
  <c r="I72" i="3"/>
  <c r="F16" i="5"/>
  <c r="F10" i="5"/>
  <c r="B10" i="5"/>
  <c r="E10" i="5" s="1"/>
  <c r="E16" i="5"/>
  <c r="F290" i="3"/>
  <c r="G290" i="3"/>
  <c r="E290" i="3"/>
  <c r="I93" i="7"/>
  <c r="F35" i="7" l="1"/>
  <c r="I35" i="7" l="1"/>
  <c r="H35" i="7"/>
  <c r="F22" i="7"/>
  <c r="I22" i="7" s="1"/>
  <c r="E22" i="7"/>
  <c r="H22" i="7" s="1"/>
  <c r="F9" i="7"/>
  <c r="I9" i="7" s="1"/>
  <c r="G268" i="3"/>
  <c r="G252" i="3"/>
  <c r="G244" i="3"/>
  <c r="G236" i="3"/>
  <c r="G228" i="3"/>
  <c r="G220" i="3"/>
  <c r="G212" i="3"/>
  <c r="G196" i="3"/>
  <c r="G188" i="3"/>
  <c r="G180" i="3"/>
  <c r="E276" i="3"/>
  <c r="F276" i="3"/>
  <c r="G276" i="3"/>
  <c r="G172" i="3"/>
  <c r="G164" i="3"/>
  <c r="G148" i="3"/>
  <c r="G140" i="3"/>
  <c r="G132" i="3"/>
  <c r="G124" i="3"/>
  <c r="G116" i="3"/>
  <c r="G108" i="3"/>
  <c r="G100" i="3"/>
  <c r="G78" i="3"/>
  <c r="G40" i="3"/>
  <c r="H180" i="3" l="1"/>
  <c r="I180" i="3"/>
  <c r="I252" i="3"/>
  <c r="H252" i="3"/>
  <c r="H100" i="3"/>
  <c r="I100" i="3"/>
  <c r="H268" i="3"/>
  <c r="I268" i="3"/>
  <c r="H78" i="3"/>
  <c r="I78" i="3"/>
  <c r="I196" i="3"/>
  <c r="H196" i="3"/>
  <c r="H244" i="3"/>
  <c r="I244" i="3"/>
  <c r="H212" i="3"/>
  <c r="I212" i="3"/>
  <c r="H108" i="3"/>
  <c r="I108" i="3"/>
  <c r="I164" i="3"/>
  <c r="H164" i="3"/>
  <c r="H284" i="3"/>
  <c r="I284" i="3"/>
  <c r="I228" i="3"/>
  <c r="H228" i="3"/>
  <c r="I148" i="3"/>
  <c r="H148" i="3"/>
  <c r="I172" i="3"/>
  <c r="H172" i="3"/>
  <c r="I116" i="3"/>
  <c r="H116" i="3"/>
  <c r="I124" i="3"/>
  <c r="H124" i="3"/>
  <c r="I220" i="3"/>
  <c r="H220" i="3"/>
  <c r="I132" i="3"/>
  <c r="H132" i="3"/>
  <c r="H276" i="3"/>
  <c r="I276" i="3"/>
  <c r="I140" i="3"/>
  <c r="H140" i="3"/>
  <c r="H236" i="3"/>
  <c r="I236" i="3"/>
  <c r="G17" i="3"/>
  <c r="H17" i="3" l="1"/>
  <c r="I17" i="3"/>
  <c r="E59" i="7" l="1"/>
  <c r="E57" i="7" s="1"/>
  <c r="H60" i="7"/>
  <c r="E31" i="3" l="1"/>
  <c r="F31" i="3"/>
  <c r="E34" i="3"/>
  <c r="E42" i="3"/>
  <c r="G92" i="3"/>
  <c r="F92" i="3"/>
  <c r="E305" i="3"/>
  <c r="F13" i="8" s="1"/>
  <c r="E92" i="7"/>
  <c r="E90" i="7" s="1"/>
  <c r="E8" i="7"/>
  <c r="E6" i="7" s="1"/>
  <c r="E34" i="7"/>
  <c r="E32" i="7" s="1"/>
  <c r="E21" i="7"/>
  <c r="E19" i="7" s="1"/>
  <c r="H92" i="3" l="1"/>
  <c r="I92" i="3"/>
  <c r="F12" i="8"/>
  <c r="F11" i="8" s="1"/>
  <c r="F9" i="8"/>
  <c r="F8" i="8" s="1"/>
  <c r="F92" i="7"/>
  <c r="F90" i="7" s="1"/>
  <c r="F21" i="7"/>
  <c r="F19" i="7" s="1"/>
  <c r="F14" i="8" l="1"/>
  <c r="F59" i="7"/>
  <c r="F57" i="7" s="1"/>
  <c r="I60" i="7"/>
  <c r="F34" i="7"/>
  <c r="F32" i="7" s="1"/>
  <c r="F8" i="7"/>
  <c r="F6" i="7" s="1"/>
  <c r="F305" i="3"/>
  <c r="F287" i="3" l="1"/>
  <c r="G12" i="8"/>
  <c r="F42" i="3"/>
  <c r="F34" i="3"/>
  <c r="F29" i="3"/>
  <c r="G13" i="8" l="1"/>
  <c r="G11" i="8" s="1"/>
  <c r="F10" i="3"/>
  <c r="G9" i="8" s="1"/>
  <c r="G8" i="8" s="1"/>
  <c r="G8" i="7"/>
  <c r="G6" i="7" s="1"/>
  <c r="G92" i="7"/>
  <c r="G90" i="7" s="1"/>
  <c r="H8" i="7" l="1"/>
  <c r="H6" i="7" s="1"/>
  <c r="I8" i="7"/>
  <c r="I6" i="7" s="1"/>
  <c r="H92" i="7"/>
  <c r="H90" i="7" s="1"/>
  <c r="I92" i="7"/>
  <c r="I90" i="7" s="1"/>
  <c r="G14" i="8"/>
  <c r="G59" i="7"/>
  <c r="G57" i="7" s="1"/>
  <c r="G34" i="7"/>
  <c r="G32" i="7" s="1"/>
  <c r="G21" i="7"/>
  <c r="G19" i="7" s="1"/>
  <c r="G54" i="3"/>
  <c r="G305" i="3"/>
  <c r="H54" i="3" l="1"/>
  <c r="I54" i="3"/>
  <c r="G287" i="3"/>
  <c r="H305" i="3"/>
  <c r="I305" i="3"/>
  <c r="H21" i="7"/>
  <c r="H19" i="7" s="1"/>
  <c r="I21" i="7"/>
  <c r="I19" i="7" s="1"/>
  <c r="I34" i="7"/>
  <c r="I32" i="7" s="1"/>
  <c r="H34" i="7"/>
  <c r="H32" i="7" s="1"/>
  <c r="H59" i="7"/>
  <c r="H57" i="7" s="1"/>
  <c r="I59" i="7"/>
  <c r="I57" i="7" s="1"/>
  <c r="G42" i="3"/>
  <c r="G34" i="3"/>
  <c r="G31" i="3"/>
  <c r="G29" i="3"/>
  <c r="I29" i="3" s="1"/>
  <c r="G311" i="3" l="1"/>
  <c r="I42" i="3"/>
  <c r="H42" i="3"/>
  <c r="H13" i="8"/>
  <c r="H287" i="3"/>
  <c r="I13" i="8" s="1"/>
  <c r="I11" i="8" s="1"/>
  <c r="I287" i="3"/>
  <c r="H12" i="8"/>
  <c r="H53" i="3"/>
  <c r="I53" i="3"/>
  <c r="J12" i="8" s="1"/>
  <c r="J11" i="8" s="1"/>
  <c r="H31" i="3"/>
  <c r="I31" i="3"/>
  <c r="G10" i="3"/>
  <c r="H11" i="8" l="1"/>
  <c r="H9" i="8"/>
  <c r="H8" i="8" s="1"/>
  <c r="H10" i="3"/>
  <c r="I9" i="8" s="1"/>
  <c r="I8" i="8" s="1"/>
  <c r="I10" i="3"/>
  <c r="J9" i="8" s="1"/>
  <c r="J8" i="8" s="1"/>
  <c r="H14" i="8" l="1"/>
  <c r="H27" i="8" s="1"/>
  <c r="H30" i="8" s="1"/>
</calcChain>
</file>

<file path=xl/sharedStrings.xml><?xml version="1.0" encoding="utf-8"?>
<sst xmlns="http://schemas.openxmlformats.org/spreadsheetml/2006/main" count="573" uniqueCount="158">
  <si>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</si>
  <si>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</si>
  <si>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</si>
  <si>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</si>
  <si>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</si>
  <si>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</si>
  <si>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</si>
  <si>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</si>
  <si>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</si>
  <si>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</si>
  <si>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</si>
  <si>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</si>
  <si>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</si>
  <si>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</si>
  <si>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</si>
  <si>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</si>
  <si>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</si>
  <si>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</si>
  <si>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</si>
  <si>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</si>
  <si>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</si>
  <si>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</si>
  <si>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</si>
  <si>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</si>
  <si>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</si>
  <si>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</si>
  <si>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</si>
  <si>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</si>
  <si>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</si>
  <si>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</si>
  <si>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</si>
  <si>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</si>
  <si>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</si>
  <si>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</si>
  <si>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</si>
  <si>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</si>
  <si>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</si>
  <si>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</si>
  <si>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</si>
  <si>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</si>
  <si>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</si>
  <si>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</si>
  <si>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</si>
  <si>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</si>
  <si>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</si>
  <si>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NAZIV AKTIVNOSTI</t>
  </si>
  <si>
    <t>Naziv izvora financiranja</t>
  </si>
  <si>
    <t>A) SAŽETAK RAČUNA PRIHODA I RASHODA</t>
  </si>
  <si>
    <t>B) SAŽETAK RAČUNA FINANCIRANJA</t>
  </si>
  <si>
    <t>UKUPAN DONOS VIŠKA / MANJKA IZ PRETHODNE(IH) GODINE***</t>
  </si>
  <si>
    <t>EUR/KN*</t>
  </si>
  <si>
    <t>Prihodi od prodaje proizvedene dugotrajne imovine</t>
  </si>
  <si>
    <t>…</t>
  </si>
  <si>
    <t>Ostale pomoći</t>
  </si>
  <si>
    <t>Ostali prihodi za posebne namjene</t>
  </si>
  <si>
    <t>C) PRENESENI VIŠAK ILI PRENESENI MANJAK I VIŠEGODIŠNJI PLAN URAVNOTEŽENJA</t>
  </si>
  <si>
    <t>Naziv</t>
  </si>
  <si>
    <t>Pomoći EU</t>
  </si>
  <si>
    <t>Donacije</t>
  </si>
  <si>
    <t>Prihodi od imovine</t>
  </si>
  <si>
    <t>Prihodi od upravnih i administrativnih pristojbi,pristojbi po posebnim propisima i naknada</t>
  </si>
  <si>
    <t>Prihodi od prodaje proizvoda i robe te pruženih uslugai prihodi od donacija</t>
  </si>
  <si>
    <t>Decentralizirana sredstva</t>
  </si>
  <si>
    <t>Naknade građanima i kućanstvima</t>
  </si>
  <si>
    <t>09 Obrazovanje</t>
  </si>
  <si>
    <t>091 Predškolsko i osnovno obrazovanje</t>
  </si>
  <si>
    <t>Izvor financiranja 052</t>
  </si>
  <si>
    <t>Izvor financiranja 051</t>
  </si>
  <si>
    <t>Izvor financiranja 011</t>
  </si>
  <si>
    <t>Izvor financiranja</t>
  </si>
  <si>
    <t>NAZIV PROGRAMA -  DECENTRALIZIRANA SREDSTVA</t>
  </si>
  <si>
    <t>Kapitalne pomoći proračunskim korisnicima</t>
  </si>
  <si>
    <t>Pomoći proračunskim korisnicima iz proračuna koji im nije nadležan</t>
  </si>
  <si>
    <t>Tekuće pomoći iz državnog proračuna temeljem prijenosa EU sredstava</t>
  </si>
  <si>
    <t>Kapitalne donacije</t>
  </si>
  <si>
    <t>Prihodi iz nadležnog proračuna za financiranje rashoda poslovanja</t>
  </si>
  <si>
    <t>Plaće za redovan rad</t>
  </si>
  <si>
    <t>Ostali rashodi za zaposlene</t>
  </si>
  <si>
    <t>Doprinosi za obvezno zdravstveno osiguranje</t>
  </si>
  <si>
    <t>Službena putovanja</t>
  </si>
  <si>
    <t>Naknade za prijevoz</t>
  </si>
  <si>
    <t>Stručno usavršavanje zaposlenika</t>
  </si>
  <si>
    <t>Ostale naknade troškova zaposlenima</t>
  </si>
  <si>
    <t>Uredski materijal i ostali mat.rashodi</t>
  </si>
  <si>
    <t>Materijal i sirovine</t>
  </si>
  <si>
    <t>Energija</t>
  </si>
  <si>
    <t>Materijal i dijelovi za tekuće i investicijsko održavanje</t>
  </si>
  <si>
    <t>Službena,radna i zaštitna obuća</t>
  </si>
  <si>
    <t>Usluge telefona,pošte i prijevoza</t>
  </si>
  <si>
    <t>Usluge tekućeg i investicijskog održavanje</t>
  </si>
  <si>
    <t>Usluge promidžbe i informiranja</t>
  </si>
  <si>
    <t>Komunalne usluge</t>
  </si>
  <si>
    <t>Zdravstvene usluge</t>
  </si>
  <si>
    <t>Intelektualne usluge</t>
  </si>
  <si>
    <t>Računalne usluge</t>
  </si>
  <si>
    <t>Ostale usluge</t>
  </si>
  <si>
    <t>Članarine</t>
  </si>
  <si>
    <t>Pristojbe i naknade</t>
  </si>
  <si>
    <t>Ostali nespomenuti rashodi poslovanja</t>
  </si>
  <si>
    <t>Bankarske usluge</t>
  </si>
  <si>
    <t>Uredska oprema i namještaj</t>
  </si>
  <si>
    <t>Knjige</t>
  </si>
  <si>
    <t>Doprinosi za zdravstveno osiguranje</t>
  </si>
  <si>
    <t>Naknada za prijevoz na posao</t>
  </si>
  <si>
    <t>Uredski materijal i ostali materijalni rashodi</t>
  </si>
  <si>
    <t>Materija i dijelovi za tekuće i investicijsko održavanje</t>
  </si>
  <si>
    <t>Usluge tekućeg i investicijskog održavanja</t>
  </si>
  <si>
    <t>Intelektualne uluge</t>
  </si>
  <si>
    <t>Izvršenje 2023.</t>
  </si>
  <si>
    <t>Indeks 4=3/1*100</t>
  </si>
  <si>
    <t>Indeks 5=3/2*100</t>
  </si>
  <si>
    <t>Tekuće donacije</t>
  </si>
  <si>
    <t>Licence</t>
  </si>
  <si>
    <t>Sportska i glazbena oprema</t>
  </si>
  <si>
    <t>Uređaju,strojevi i oprema za ostale namjene</t>
  </si>
  <si>
    <t>Plaće za prekovremeni rad</t>
  </si>
  <si>
    <t>Plaće za posebne uvjete rada</t>
  </si>
  <si>
    <t>Troškovi sudskih postupaka</t>
  </si>
  <si>
    <t>Zatezne kamate</t>
  </si>
  <si>
    <t>Sitni inventar</t>
  </si>
  <si>
    <t>Doprinosi za obvezno osiguranje u slučaju nezaposlenosti</t>
  </si>
  <si>
    <t>OSNOVNA ŠKOLA KURŠANEC                                GODIŠNJI IZVJEŠTAJ O IZVRŠENJU FINANCIJSKOG PLANA ZA 2024.GODINU</t>
  </si>
  <si>
    <t>Plan 2024.</t>
  </si>
  <si>
    <t>Izvršenje 2024.</t>
  </si>
  <si>
    <t>GODIŠNJI IZVJEŠTAJ O IZVRŠENJU FINANCIJSKOG PLANA ZA 2024.GODINU</t>
  </si>
  <si>
    <t>NAZIV PROGRAMA - GRAĐANSKI ODGOJ</t>
  </si>
  <si>
    <t>Izvor financiranja011</t>
  </si>
  <si>
    <t>NAZIV PROGRAMA -  MZOM - PLAĆE I OSTALI RASHODI MZOM</t>
  </si>
  <si>
    <t>Ukupni rashodi</t>
  </si>
  <si>
    <t>PROGRAM 1035A103512</t>
  </si>
  <si>
    <t>Aktivnost 1035A103512</t>
  </si>
  <si>
    <t>PROGRAM 1035A103521</t>
  </si>
  <si>
    <t>Aktivnost 1035A103521</t>
  </si>
  <si>
    <t>NAZIV PROGRAMA - POMOĆNICI U NASTAVI GRAD</t>
  </si>
  <si>
    <t>PROGRAM 1035A103517</t>
  </si>
  <si>
    <t>Aktivnost 1035A103517</t>
  </si>
  <si>
    <t>PROGRAM 1035A103519, 1035A103520</t>
  </si>
  <si>
    <t>Aktivnost  1035A103519, 1035A103520</t>
  </si>
  <si>
    <t>PROGRAM 1035A103502</t>
  </si>
  <si>
    <t>Aktivnost 1035A103502</t>
  </si>
  <si>
    <t>PROGRAM 1024A102401</t>
  </si>
  <si>
    <t>Aktivnost 1024A102401</t>
  </si>
  <si>
    <t>PROGRAM 1035A103522</t>
  </si>
  <si>
    <t>Aktivnost 1035A103522</t>
  </si>
  <si>
    <t>NAZIV PROGRAMA - POMOĆNICI U NASTAVI EU</t>
  </si>
  <si>
    <t xml:space="preserve">NAZIV PROGRAMA - PREHRANA UČENIKA DRŽAVNI PRORAČUN </t>
  </si>
  <si>
    <t>NAZIV PROGRAMA -  PROGRAM ŠKOLSTVA</t>
  </si>
  <si>
    <t>Knjuge, umjetnička djela i ostalo</t>
  </si>
  <si>
    <t>Rashodi za materijal i energiju</t>
  </si>
  <si>
    <t xml:space="preserve">Uredski materijal i ost. </t>
  </si>
  <si>
    <t>Rashodi za usluge</t>
  </si>
  <si>
    <t>Usluge tekućeg i invest. Održavanja</t>
  </si>
  <si>
    <t>Naknade građanima i kućanstvima na temelju osig. I dr.</t>
  </si>
  <si>
    <t>Ostale naknade građanima i kućanstvima</t>
  </si>
  <si>
    <t>Naknade građanima u naravi</t>
  </si>
  <si>
    <t>NAZIV PROGRAMA - DRUGI OBRAZOVNI MATERIJALI</t>
  </si>
  <si>
    <t>PROGRAM 1035A103515</t>
  </si>
  <si>
    <t>Najamnine i zakupnine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</si>
</sst>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0" fontId="17" fillId="0" borderId="5" xfId="0" applyFont="1" applyBorder="1" applyAlignment="1">
      <alignment horizontal="right" vertical="center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3" fontId="6" fillId="2" borderId="3" xfId="0" applyNumberFormat="1" applyFont="1" applyFill="1" applyBorder="1" applyAlignment="1">
      <alignment horizontal="right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3" fontId="0" fillId="0" borderId="0" xfId="0" applyNumberFormat="1"/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4" fontId="6" fillId="2" borderId="3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4" borderId="3" xfId="0" applyNumberFormat="1" applyFont="1" applyFill="1" applyBorder="1" applyAlignment="1">
      <alignment horizontal="right"/>
    </xf>
    <xf numFmtId="0" fontId="11" fillId="4" borderId="1" xfId="0" applyFont="1" applyFill="1" applyBorder="1" applyAlignment="1">
      <alignment horizontal="left" vertical="center"/>
    </xf>
    <xf numFmtId="0" fontId="9" fillId="4" borderId="2" xfId="0" applyNumberFormat="1" applyFont="1" applyFill="1" applyBorder="1" applyAlignment="1" applyProtection="1">
      <alignment vertical="center"/>
    </xf>
    <xf numFmtId="3" fontId="6" fillId="4" borderId="3" xfId="0" applyNumberFormat="1" applyFont="1" applyFill="1" applyBorder="1" applyAlignment="1">
      <alignment horizontal="right"/>
    </xf>
    <xf numFmtId="3" fontId="6" fillId="4" borderId="1" xfId="0" quotePrefix="1" applyNumberFormat="1" applyFont="1" applyFill="1" applyBorder="1" applyAlignment="1">
      <alignment horizontal="right"/>
    </xf>
    <xf numFmtId="4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 applyProtection="1">
      <alignment horizontal="right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4" fontId="3" fillId="2" borderId="0" xfId="0" applyNumberFormat="1" applyFont="1" applyFill="1" applyBorder="1" applyAlignment="1">
      <alignment horizontal="right"/>
    </xf>
    <xf numFmtId="4" fontId="6" fillId="2" borderId="0" xfId="0" applyNumberFormat="1" applyFont="1" applyFill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0" fillId="0" borderId="0" xfId="0" applyFill="1"/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4" fontId="3" fillId="0" borderId="4" xfId="0" applyNumberFormat="1" applyFont="1" applyFill="1" applyBorder="1" applyAlignment="1">
      <alignment horizontal="right"/>
    </xf>
    <xf numFmtId="0" fontId="9" fillId="0" borderId="3" xfId="0" quotePrefix="1" applyFont="1" applyFill="1" applyBorder="1" applyAlignment="1">
      <alignment horizontal="left" vertical="center"/>
    </xf>
    <xf numFmtId="0" fontId="10" fillId="0" borderId="3" xfId="0" quotePrefix="1" applyFont="1" applyFill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right"/>
    </xf>
    <xf numFmtId="0" fontId="11" fillId="0" borderId="3" xfId="0" quotePrefix="1" applyFont="1" applyFill="1" applyBorder="1" applyAlignment="1">
      <alignment horizontal="left" vertical="center"/>
    </xf>
    <xf numFmtId="0" fontId="23" fillId="0" borderId="3" xfId="0" quotePrefix="1" applyFont="1" applyFill="1" applyBorder="1" applyAlignment="1">
      <alignment horizontal="left" vertical="center"/>
    </xf>
    <xf numFmtId="0" fontId="11" fillId="0" borderId="3" xfId="0" quotePrefix="1" applyFont="1" applyFill="1" applyBorder="1" applyAlignment="1">
      <alignment horizontal="left" vertical="center" wrapText="1"/>
    </xf>
    <xf numFmtId="4" fontId="6" fillId="0" borderId="4" xfId="0" applyNumberFormat="1" applyFont="1" applyFill="1" applyBorder="1" applyAlignment="1">
      <alignment horizontal="right"/>
    </xf>
    <xf numFmtId="0" fontId="10" fillId="0" borderId="3" xfId="0" quotePrefix="1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1" fillId="0" borderId="3" xfId="0" applyNumberFormat="1" applyFont="1" applyFill="1" applyBorder="1" applyAlignment="1" applyProtection="1">
      <alignment vertical="center" wrapText="1"/>
    </xf>
    <xf numFmtId="0" fontId="9" fillId="0" borderId="3" xfId="0" applyNumberFormat="1" applyFont="1" applyFill="1" applyBorder="1" applyAlignment="1" applyProtection="1">
      <alignment vertical="center" wrapText="1"/>
    </xf>
    <xf numFmtId="0" fontId="10" fillId="0" borderId="3" xfId="0" applyNumberFormat="1" applyFont="1" applyFill="1" applyBorder="1" applyAlignment="1" applyProtection="1">
      <alignment horizontal="left" vertical="center"/>
    </xf>
    <xf numFmtId="0" fontId="10" fillId="0" borderId="3" xfId="0" applyNumberFormat="1" applyFont="1" applyFill="1" applyBorder="1" applyAlignment="1" applyProtection="1">
      <alignment vertical="center" wrapText="1"/>
    </xf>
    <xf numFmtId="0" fontId="19" fillId="0" borderId="3" xfId="0" applyFont="1" applyFill="1" applyBorder="1"/>
    <xf numFmtId="0" fontId="22" fillId="0" borderId="3" xfId="0" applyFont="1" applyFill="1" applyBorder="1" applyAlignment="1">
      <alignment horizontal="left"/>
    </xf>
    <xf numFmtId="0" fontId="22" fillId="0" borderId="3" xfId="0" applyFont="1" applyFill="1" applyBorder="1" applyAlignment="1">
      <alignment wrapText="1"/>
    </xf>
    <xf numFmtId="4" fontId="22" fillId="0" borderId="3" xfId="0" applyNumberFormat="1" applyFont="1" applyFill="1" applyBorder="1"/>
    <xf numFmtId="0" fontId="19" fillId="0" borderId="3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left"/>
    </xf>
    <xf numFmtId="0" fontId="20" fillId="0" borderId="3" xfId="0" applyFont="1" applyFill="1" applyBorder="1"/>
    <xf numFmtId="4" fontId="19" fillId="0" borderId="3" xfId="0" applyNumberFormat="1" applyFont="1" applyFill="1" applyBorder="1"/>
    <xf numFmtId="0" fontId="0" fillId="0" borderId="3" xfId="0" applyFill="1" applyBorder="1"/>
    <xf numFmtId="0" fontId="21" fillId="0" borderId="3" xfId="0" applyFont="1" applyFill="1" applyBorder="1" applyAlignment="1">
      <alignment horizontal="left"/>
    </xf>
    <xf numFmtId="0" fontId="21" fillId="0" borderId="3" xfId="0" applyFont="1" applyFill="1" applyBorder="1"/>
    <xf numFmtId="4" fontId="0" fillId="0" borderId="3" xfId="0" applyNumberFormat="1" applyFill="1" applyBorder="1"/>
    <xf numFmtId="3" fontId="0" fillId="0" borderId="3" xfId="0" applyNumberFormat="1" applyFill="1" applyBorder="1"/>
    <xf numFmtId="3" fontId="0" fillId="0" borderId="0" xfId="0" applyNumberFormat="1" applyFill="1"/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 indent="1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18" fillId="2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3" fillId="0" borderId="0" xfId="0" applyFont="1" applyAlignment="1">
      <alignment wrapText="1"/>
    </xf>
    <xf numFmtId="0" fontId="11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vertical="center" wrapText="1"/>
    </xf>
    <xf numFmtId="0" fontId="9" fillId="4" borderId="2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11" fillId="4" borderId="1" xfId="0" quotePrefix="1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wrapText="1"/>
    </xf>
    <xf numFmtId="0" fontId="16" fillId="0" borderId="0" xfId="0" applyNumberFormat="1" applyFont="1" applyFill="1" applyBorder="1" applyAlignment="1" applyProtection="1">
      <alignment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Alignment="1">
      <alignment wrapText="1"/>
    </xf>
    <xf numFmtId="0" fontId="13" fillId="0" borderId="0" xfId="0" applyFont="1" applyAlignment="1">
      <alignment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8" fillId="2" borderId="1" xfId="0" applyNumberFormat="1" applyFont="1" applyFill="1" applyBorder="1" applyAlignment="1" applyProtection="1">
      <alignment horizontal="left" vertical="center" wrapText="1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abSelected="1" topLeftCell="A4" workbookViewId="0">
      <selection activeCell="H11" sqref="H11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52" t="s">
        <v>121</v>
      </c>
      <c r="B1" s="152"/>
      <c r="C1" s="152"/>
      <c r="D1" s="152"/>
      <c r="E1" s="152"/>
      <c r="F1" s="152"/>
      <c r="G1" s="152"/>
      <c r="H1" s="152"/>
      <c r="I1" s="152"/>
      <c r="J1" s="152"/>
    </row>
    <row r="2" spans="1:10" ht="18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ht="15.75" x14ac:dyDescent="0.25">
      <c r="A3" s="153" t="s">
        <v>37</v>
      </c>
      <c r="B3" s="153"/>
      <c r="C3" s="153"/>
      <c r="D3" s="153"/>
      <c r="E3" s="153"/>
      <c r="F3" s="153"/>
      <c r="G3" s="153"/>
      <c r="H3" s="153"/>
      <c r="I3" s="154"/>
      <c r="J3" s="154"/>
    </row>
    <row r="4" spans="1:10" ht="18" x14ac:dyDescent="0.25">
      <c r="A4" s="26"/>
      <c r="B4" s="26"/>
      <c r="C4" s="26"/>
      <c r="D4" s="26"/>
      <c r="E4" s="26"/>
      <c r="F4" s="26"/>
      <c r="G4" s="26"/>
      <c r="H4" s="26"/>
      <c r="I4" s="4"/>
      <c r="J4" s="4"/>
    </row>
    <row r="5" spans="1:10" ht="18" customHeight="1" x14ac:dyDescent="0.25">
      <c r="A5" s="153" t="s">
        <v>47</v>
      </c>
      <c r="B5" s="155"/>
      <c r="C5" s="155"/>
      <c r="D5" s="155"/>
      <c r="E5" s="155"/>
      <c r="F5" s="155"/>
      <c r="G5" s="155"/>
      <c r="H5" s="155"/>
      <c r="I5" s="155"/>
      <c r="J5" s="155"/>
    </row>
    <row r="6" spans="1:10" ht="18" x14ac:dyDescent="0.25">
      <c r="A6" s="1"/>
      <c r="B6" s="2"/>
      <c r="C6" s="2"/>
      <c r="D6" s="2"/>
      <c r="E6" s="5"/>
      <c r="F6" s="6"/>
      <c r="G6" s="6"/>
      <c r="H6" s="6"/>
      <c r="I6" s="6"/>
      <c r="J6" s="37" t="s">
        <v>50</v>
      </c>
    </row>
    <row r="7" spans="1:10" x14ac:dyDescent="0.25">
      <c r="A7" s="30"/>
      <c r="B7" s="31"/>
      <c r="C7" s="31"/>
      <c r="D7" s="32"/>
      <c r="E7" s="33"/>
      <c r="F7" s="63" t="s">
        <v>108</v>
      </c>
      <c r="G7" s="22" t="s">
        <v>122</v>
      </c>
      <c r="H7" s="22" t="s">
        <v>123</v>
      </c>
      <c r="I7" s="22" t="s">
        <v>109</v>
      </c>
      <c r="J7" s="22" t="s">
        <v>110</v>
      </c>
    </row>
    <row r="8" spans="1:10" x14ac:dyDescent="0.25">
      <c r="A8" s="156" t="s">
        <v>0</v>
      </c>
      <c r="B8" s="157"/>
      <c r="C8" s="157"/>
      <c r="D8" s="157"/>
      <c r="E8" s="158"/>
      <c r="F8" s="88">
        <f>F9+F10</f>
        <v>1994282.3599999999</v>
      </c>
      <c r="G8" s="88">
        <f t="shared" ref="G8:J8" si="0">G9+G10</f>
        <v>2525468.0000000005</v>
      </c>
      <c r="H8" s="88">
        <f t="shared" si="0"/>
        <v>2520857.2699999996</v>
      </c>
      <c r="I8" s="88">
        <f t="shared" si="0"/>
        <v>126.40423044207239</v>
      </c>
      <c r="J8" s="88">
        <f t="shared" si="0"/>
        <v>99.817430670275726</v>
      </c>
    </row>
    <row r="9" spans="1:10" x14ac:dyDescent="0.25">
      <c r="A9" s="150" t="s">
        <v>1</v>
      </c>
      <c r="B9" s="151"/>
      <c r="C9" s="151"/>
      <c r="D9" s="151"/>
      <c r="E9" s="159"/>
      <c r="F9" s="86">
        <f>' Račun prihoda i rashoda'!E10</f>
        <v>1994282.3599999999</v>
      </c>
      <c r="G9" s="86">
        <f>' Račun prihoda i rashoda'!F10</f>
        <v>2525468.0000000005</v>
      </c>
      <c r="H9" s="86">
        <f>' Račun prihoda i rashoda'!G10</f>
        <v>2520857.2699999996</v>
      </c>
      <c r="I9" s="86">
        <f>' Račun prihoda i rashoda'!H10</f>
        <v>126.40423044207239</v>
      </c>
      <c r="J9" s="86">
        <f>' Račun prihoda i rashoda'!I10</f>
        <v>99.817430670275726</v>
      </c>
    </row>
    <row r="10" spans="1:10" x14ac:dyDescent="0.25">
      <c r="A10" s="160" t="s">
        <v>2</v>
      </c>
      <c r="B10" s="159"/>
      <c r="C10" s="159"/>
      <c r="D10" s="159"/>
      <c r="E10" s="159"/>
      <c r="F10" s="86">
        <v>0</v>
      </c>
      <c r="G10" s="86">
        <v>0</v>
      </c>
      <c r="H10" s="86">
        <v>0</v>
      </c>
      <c r="I10" s="86"/>
      <c r="J10" s="86"/>
    </row>
    <row r="11" spans="1:10" x14ac:dyDescent="0.25">
      <c r="A11" s="89" t="s">
        <v>3</v>
      </c>
      <c r="B11" s="90"/>
      <c r="C11" s="90"/>
      <c r="D11" s="90"/>
      <c r="E11" s="90"/>
      <c r="F11" s="88">
        <f>F12+F13</f>
        <v>1961631.0999999999</v>
      </c>
      <c r="G11" s="88">
        <f t="shared" ref="G11:J11" si="1">G12+G13</f>
        <v>2523993</v>
      </c>
      <c r="H11" s="88">
        <f t="shared" si="1"/>
        <v>2558773.96</v>
      </c>
      <c r="I11" s="88">
        <f t="shared" si="1"/>
        <v>63.722642818140216</v>
      </c>
      <c r="J11" s="88">
        <f t="shared" si="1"/>
        <v>102.5065499782704</v>
      </c>
    </row>
    <row r="12" spans="1:10" x14ac:dyDescent="0.25">
      <c r="A12" s="161" t="s">
        <v>4</v>
      </c>
      <c r="B12" s="151"/>
      <c r="C12" s="151"/>
      <c r="D12" s="151"/>
      <c r="E12" s="151"/>
      <c r="F12" s="86">
        <f>' Račun prihoda i rashoda'!E53</f>
        <v>1954854.9999999998</v>
      </c>
      <c r="G12" s="86">
        <f>' Račun prihoda i rashoda'!F53</f>
        <v>2491993</v>
      </c>
      <c r="H12" s="86">
        <f>' Račun prihoda i rashoda'!G53</f>
        <v>2554456.0499999998</v>
      </c>
      <c r="I12" s="86"/>
      <c r="J12" s="86">
        <f>' Račun prihoda i rashoda'!I53</f>
        <v>102.5065499782704</v>
      </c>
    </row>
    <row r="13" spans="1:10" x14ac:dyDescent="0.25">
      <c r="A13" s="162" t="s">
        <v>5</v>
      </c>
      <c r="B13" s="159"/>
      <c r="C13" s="159"/>
      <c r="D13" s="159"/>
      <c r="E13" s="159"/>
      <c r="F13" s="87">
        <f>' Račun prihoda i rashoda'!E287</f>
        <v>6776.1</v>
      </c>
      <c r="G13" s="87">
        <f>' Račun prihoda i rashoda'!F287</f>
        <v>32000</v>
      </c>
      <c r="H13" s="87">
        <f>' Račun prihoda i rashoda'!G287</f>
        <v>4317.91</v>
      </c>
      <c r="I13" s="87">
        <f>' Račun prihoda i rashoda'!H287</f>
        <v>63.722642818140216</v>
      </c>
      <c r="J13" s="87"/>
    </row>
    <row r="14" spans="1:10" x14ac:dyDescent="0.25">
      <c r="A14" s="163" t="s">
        <v>6</v>
      </c>
      <c r="B14" s="157"/>
      <c r="C14" s="157"/>
      <c r="D14" s="157"/>
      <c r="E14" s="157"/>
      <c r="F14" s="88">
        <f>F8-F11</f>
        <v>32651.260000000009</v>
      </c>
      <c r="G14" s="88">
        <f t="shared" ref="G14:H14" si="2">G8-G11</f>
        <v>1475.0000000004657</v>
      </c>
      <c r="H14" s="88">
        <f t="shared" si="2"/>
        <v>-37916.69000000041</v>
      </c>
      <c r="I14" s="88"/>
      <c r="J14" s="88"/>
    </row>
    <row r="15" spans="1:10" ht="18" x14ac:dyDescent="0.25">
      <c r="A15" s="26"/>
      <c r="B15" s="24"/>
      <c r="C15" s="24"/>
      <c r="D15" s="24"/>
      <c r="E15" s="24"/>
      <c r="F15" s="24"/>
      <c r="G15" s="24"/>
      <c r="H15" s="25"/>
      <c r="I15" s="25"/>
      <c r="J15" s="25"/>
    </row>
    <row r="16" spans="1:10" ht="18" customHeight="1" x14ac:dyDescent="0.25">
      <c r="A16" s="153" t="s">
        <v>48</v>
      </c>
      <c r="B16" s="155"/>
      <c r="C16" s="155"/>
      <c r="D16" s="155"/>
      <c r="E16" s="155"/>
      <c r="F16" s="155"/>
      <c r="G16" s="155"/>
      <c r="H16" s="155"/>
      <c r="I16" s="155"/>
      <c r="J16" s="155"/>
    </row>
    <row r="17" spans="1:10" ht="18" x14ac:dyDescent="0.25">
      <c r="A17" s="26"/>
      <c r="B17" s="24"/>
      <c r="C17" s="24"/>
      <c r="D17" s="24"/>
      <c r="E17" s="24"/>
      <c r="F17" s="24"/>
      <c r="G17" s="24"/>
      <c r="H17" s="25"/>
      <c r="I17" s="25"/>
      <c r="J17" s="25"/>
    </row>
    <row r="18" spans="1:10" x14ac:dyDescent="0.25">
      <c r="A18" s="30"/>
      <c r="B18" s="31"/>
      <c r="C18" s="31"/>
      <c r="D18" s="32"/>
      <c r="E18" s="33"/>
      <c r="F18" s="63" t="s">
        <v>108</v>
      </c>
      <c r="G18" s="22" t="s">
        <v>122</v>
      </c>
      <c r="H18" s="22" t="s">
        <v>123</v>
      </c>
      <c r="I18" s="22" t="s">
        <v>109</v>
      </c>
      <c r="J18" s="22" t="s">
        <v>110</v>
      </c>
    </row>
    <row r="19" spans="1:10" ht="15.75" customHeight="1" x14ac:dyDescent="0.25">
      <c r="A19" s="150" t="s">
        <v>8</v>
      </c>
      <c r="B19" s="164"/>
      <c r="C19" s="164"/>
      <c r="D19" s="164"/>
      <c r="E19" s="165"/>
      <c r="F19" s="34"/>
      <c r="G19" s="34"/>
      <c r="H19" s="34"/>
      <c r="I19" s="34"/>
      <c r="J19" s="34"/>
    </row>
    <row r="20" spans="1:10" x14ac:dyDescent="0.25">
      <c r="A20" s="150" t="s">
        <v>9</v>
      </c>
      <c r="B20" s="151"/>
      <c r="C20" s="151"/>
      <c r="D20" s="151"/>
      <c r="E20" s="151"/>
      <c r="F20" s="34"/>
      <c r="G20" s="34"/>
      <c r="H20" s="34"/>
      <c r="I20" s="34"/>
      <c r="J20" s="34"/>
    </row>
    <row r="21" spans="1:10" x14ac:dyDescent="0.25">
      <c r="A21" s="163" t="s">
        <v>10</v>
      </c>
      <c r="B21" s="157"/>
      <c r="C21" s="157"/>
      <c r="D21" s="157"/>
      <c r="E21" s="157"/>
      <c r="F21" s="91">
        <v>0</v>
      </c>
      <c r="G21" s="91">
        <v>0</v>
      </c>
      <c r="H21" s="91">
        <v>0</v>
      </c>
      <c r="I21" s="91">
        <v>0</v>
      </c>
      <c r="J21" s="91">
        <v>0</v>
      </c>
    </row>
    <row r="22" spans="1:10" ht="18" x14ac:dyDescent="0.25">
      <c r="A22" s="23"/>
      <c r="B22" s="24"/>
      <c r="C22" s="24"/>
      <c r="D22" s="24"/>
      <c r="E22" s="24"/>
      <c r="F22" s="24"/>
      <c r="G22" s="24"/>
      <c r="H22" s="25"/>
      <c r="I22" s="25"/>
      <c r="J22" s="25"/>
    </row>
    <row r="23" spans="1:10" ht="18" customHeight="1" x14ac:dyDescent="0.25">
      <c r="A23" s="153" t="s">
        <v>55</v>
      </c>
      <c r="B23" s="155"/>
      <c r="C23" s="155"/>
      <c r="D23" s="155"/>
      <c r="E23" s="155"/>
      <c r="F23" s="155"/>
      <c r="G23" s="155"/>
      <c r="H23" s="155"/>
      <c r="I23" s="155"/>
      <c r="J23" s="155"/>
    </row>
    <row r="24" spans="1:10" ht="18" x14ac:dyDescent="0.25">
      <c r="A24" s="23"/>
      <c r="B24" s="24"/>
      <c r="C24" s="24"/>
      <c r="D24" s="24"/>
      <c r="E24" s="24"/>
      <c r="F24" s="24"/>
      <c r="G24" s="24"/>
      <c r="H24" s="25"/>
      <c r="I24" s="25"/>
      <c r="J24" s="25"/>
    </row>
    <row r="25" spans="1:10" x14ac:dyDescent="0.25">
      <c r="A25" s="30"/>
      <c r="B25" s="31"/>
      <c r="C25" s="31"/>
      <c r="D25" s="32"/>
      <c r="E25" s="33"/>
      <c r="F25" s="63" t="s">
        <v>108</v>
      </c>
      <c r="G25" s="22" t="s">
        <v>122</v>
      </c>
      <c r="H25" s="22" t="s">
        <v>123</v>
      </c>
      <c r="I25" s="22" t="s">
        <v>109</v>
      </c>
      <c r="J25" s="22" t="s">
        <v>110</v>
      </c>
    </row>
    <row r="26" spans="1:10" x14ac:dyDescent="0.25">
      <c r="A26" s="168" t="s">
        <v>49</v>
      </c>
      <c r="B26" s="169"/>
      <c r="C26" s="169"/>
      <c r="D26" s="169"/>
      <c r="E26" s="170"/>
      <c r="F26" s="35">
        <v>9919.5499999999993</v>
      </c>
      <c r="G26" s="35">
        <v>26327</v>
      </c>
      <c r="H26" s="35">
        <v>26327.13</v>
      </c>
      <c r="I26" s="35"/>
      <c r="J26" s="36"/>
    </row>
    <row r="27" spans="1:10" ht="30" customHeight="1" x14ac:dyDescent="0.25">
      <c r="A27" s="171" t="s">
        <v>7</v>
      </c>
      <c r="B27" s="172"/>
      <c r="C27" s="172"/>
      <c r="D27" s="172"/>
      <c r="E27" s="173"/>
      <c r="F27" s="92">
        <v>30097.77</v>
      </c>
      <c r="G27" s="93">
        <v>8000</v>
      </c>
      <c r="H27" s="93">
        <f>H14</f>
        <v>-37916.69000000041</v>
      </c>
      <c r="I27" s="92"/>
      <c r="J27" s="94"/>
    </row>
    <row r="30" spans="1:10" x14ac:dyDescent="0.25">
      <c r="A30" s="161" t="s">
        <v>11</v>
      </c>
      <c r="B30" s="151"/>
      <c r="C30" s="151"/>
      <c r="D30" s="151"/>
      <c r="E30" s="151"/>
      <c r="F30" s="34">
        <f>F27+F26</f>
        <v>40017.32</v>
      </c>
      <c r="G30" s="34"/>
      <c r="H30" s="34">
        <f>H27+H26</f>
        <v>-11589.560000000409</v>
      </c>
      <c r="I30" s="34">
        <v>0</v>
      </c>
      <c r="J30" s="34">
        <v>0</v>
      </c>
    </row>
    <row r="31" spans="1:10" ht="11.25" customHeight="1" x14ac:dyDescent="0.25">
      <c r="A31" s="19"/>
      <c r="B31" s="20"/>
      <c r="C31" s="20"/>
      <c r="D31" s="20"/>
      <c r="E31" s="20"/>
      <c r="F31" s="21"/>
      <c r="G31" s="21"/>
      <c r="H31" s="21"/>
      <c r="I31" s="21"/>
      <c r="J31" s="21"/>
    </row>
    <row r="32" spans="1:10" ht="29.25" customHeight="1" x14ac:dyDescent="0.25">
      <c r="A32" s="166"/>
      <c r="B32" s="167"/>
      <c r="C32" s="167"/>
      <c r="D32" s="167"/>
      <c r="E32" s="167"/>
      <c r="F32" s="167"/>
      <c r="G32" s="167"/>
      <c r="H32" s="167"/>
      <c r="I32" s="167"/>
      <c r="J32" s="167"/>
    </row>
    <row r="33" spans="1:10" ht="8.25" customHeight="1" x14ac:dyDescent="0.25"/>
    <row r="34" spans="1:10" x14ac:dyDescent="0.25">
      <c r="A34" s="166"/>
      <c r="B34" s="167"/>
      <c r="C34" s="167"/>
      <c r="D34" s="167"/>
      <c r="E34" s="167"/>
      <c r="F34" s="167"/>
      <c r="G34" s="167"/>
      <c r="H34" s="167"/>
      <c r="I34" s="167"/>
      <c r="J34" s="167"/>
    </row>
    <row r="35" spans="1:10" ht="8.25" customHeight="1" x14ac:dyDescent="0.25"/>
    <row r="36" spans="1:10" ht="29.25" customHeight="1" x14ac:dyDescent="0.25">
      <c r="A36" s="166"/>
      <c r="B36" s="167"/>
      <c r="C36" s="167"/>
      <c r="D36" s="167"/>
      <c r="E36" s="167"/>
      <c r="F36" s="167"/>
      <c r="G36" s="167"/>
      <c r="H36" s="167"/>
      <c r="I36" s="167"/>
      <c r="J36" s="167"/>
    </row>
  </sheetData>
  <mergeCells count="20">
    <mergeCell ref="A34:J34"/>
    <mergeCell ref="A36:J36"/>
    <mergeCell ref="A21:E21"/>
    <mergeCell ref="A23:J23"/>
    <mergeCell ref="A26:E26"/>
    <mergeCell ref="A27:E27"/>
    <mergeCell ref="A30:E30"/>
    <mergeCell ref="A32:J32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20"/>
  <sheetViews>
    <sheetView topLeftCell="A163" workbookViewId="0">
      <selection activeCell="M293" sqref="M293"/>
    </sheetView>
  </sheetViews>
  <sheetFormatPr defaultRowHeight="15" x14ac:dyDescent="0.25"/>
  <cols>
    <col min="1" max="1" width="7.42578125" style="102" bestFit="1" customWidth="1"/>
    <col min="2" max="2" width="8.42578125" style="102" bestFit="1" customWidth="1"/>
    <col min="3" max="3" width="5.42578125" style="102" bestFit="1" customWidth="1"/>
    <col min="4" max="9" width="25.28515625" style="102" customWidth="1"/>
    <col min="10" max="16384" width="9.140625" style="102"/>
  </cols>
  <sheetData>
    <row r="1" spans="1:9" ht="42" customHeight="1" x14ac:dyDescent="0.25">
      <c r="A1" s="153" t="s">
        <v>124</v>
      </c>
      <c r="B1" s="153"/>
      <c r="C1" s="153"/>
      <c r="D1" s="153"/>
      <c r="E1" s="153"/>
      <c r="F1" s="153"/>
      <c r="G1" s="153"/>
      <c r="H1" s="153"/>
      <c r="I1" s="153"/>
    </row>
    <row r="2" spans="1:9" ht="18" customHeight="1" x14ac:dyDescent="0.25">
      <c r="A2" s="26"/>
      <c r="B2" s="26"/>
      <c r="C2" s="26"/>
      <c r="D2" s="26"/>
      <c r="E2" s="26"/>
      <c r="F2" s="26"/>
      <c r="G2" s="26"/>
      <c r="H2" s="26"/>
      <c r="I2" s="26"/>
    </row>
    <row r="3" spans="1:9" ht="15.75" x14ac:dyDescent="0.25">
      <c r="A3" s="153" t="s">
        <v>37</v>
      </c>
      <c r="B3" s="153"/>
      <c r="C3" s="153"/>
      <c r="D3" s="153"/>
      <c r="E3" s="153"/>
      <c r="F3" s="153"/>
      <c r="G3" s="153"/>
      <c r="H3" s="154"/>
      <c r="I3" s="154"/>
    </row>
    <row r="4" spans="1:9" ht="18" x14ac:dyDescent="0.25">
      <c r="A4" s="26"/>
      <c r="B4" s="26"/>
      <c r="C4" s="26"/>
      <c r="D4" s="26"/>
      <c r="E4" s="26"/>
      <c r="F4" s="26"/>
      <c r="G4" s="26"/>
      <c r="H4" s="4"/>
      <c r="I4" s="4"/>
    </row>
    <row r="5" spans="1:9" ht="18" customHeight="1" x14ac:dyDescent="0.25">
      <c r="A5" s="153" t="s">
        <v>13</v>
      </c>
      <c r="B5" s="178"/>
      <c r="C5" s="178"/>
      <c r="D5" s="178"/>
      <c r="E5" s="178"/>
      <c r="F5" s="178"/>
      <c r="G5" s="178"/>
      <c r="H5" s="178"/>
      <c r="I5" s="178"/>
    </row>
    <row r="6" spans="1:9" ht="18" x14ac:dyDescent="0.25">
      <c r="A6" s="26"/>
      <c r="B6" s="26"/>
      <c r="C6" s="26"/>
      <c r="D6" s="26"/>
      <c r="E6" s="26"/>
      <c r="F6" s="26"/>
      <c r="G6" s="26"/>
      <c r="H6" s="4"/>
      <c r="I6" s="4"/>
    </row>
    <row r="7" spans="1:9" ht="15.75" x14ac:dyDescent="0.25">
      <c r="A7" s="153" t="s">
        <v>1</v>
      </c>
      <c r="B7" s="177"/>
      <c r="C7" s="177"/>
      <c r="D7" s="177"/>
      <c r="E7" s="177"/>
      <c r="F7" s="177"/>
      <c r="G7" s="177"/>
      <c r="H7" s="177"/>
      <c r="I7" s="177"/>
    </row>
    <row r="8" spans="1:9" ht="18" x14ac:dyDescent="0.25">
      <c r="A8" s="26"/>
      <c r="B8" s="26"/>
      <c r="C8" s="26"/>
      <c r="D8" s="26"/>
      <c r="E8" s="26"/>
      <c r="F8" s="26"/>
      <c r="G8" s="26"/>
      <c r="H8" s="4"/>
      <c r="I8" s="4"/>
    </row>
    <row r="9" spans="1:9" x14ac:dyDescent="0.25">
      <c r="A9" s="95" t="s">
        <v>14</v>
      </c>
      <c r="B9" s="100" t="s">
        <v>15</v>
      </c>
      <c r="C9" s="100" t="s">
        <v>16</v>
      </c>
      <c r="D9" s="100" t="s">
        <v>12</v>
      </c>
      <c r="E9" s="100" t="s">
        <v>108</v>
      </c>
      <c r="F9" s="95" t="s">
        <v>122</v>
      </c>
      <c r="G9" s="95" t="s">
        <v>123</v>
      </c>
      <c r="H9" s="95" t="s">
        <v>109</v>
      </c>
      <c r="I9" s="95" t="s">
        <v>110</v>
      </c>
    </row>
    <row r="10" spans="1:9" ht="15.75" customHeight="1" x14ac:dyDescent="0.25">
      <c r="A10" s="103">
        <v>6</v>
      </c>
      <c r="B10" s="103"/>
      <c r="C10" s="103"/>
      <c r="D10" s="103" t="s">
        <v>17</v>
      </c>
      <c r="E10" s="86">
        <f>SUM(E11,E17,E23,E29,E31,E42)</f>
        <v>1994282.3599999999</v>
      </c>
      <c r="F10" s="86">
        <f>F11+F17+F23+F29+F31+F34+F40+F42+F38</f>
        <v>2525468.0000000005</v>
      </c>
      <c r="G10" s="86">
        <f>G11+G17+G23+G29+G31+G34+G40+G42+G38</f>
        <v>2520857.2699999996</v>
      </c>
      <c r="H10" s="86">
        <f>(G10/E10)*100</f>
        <v>126.40423044207239</v>
      </c>
      <c r="I10" s="86">
        <f>(G10/F10)*100</f>
        <v>99.817430670275726</v>
      </c>
    </row>
    <row r="11" spans="1:9" ht="38.25" x14ac:dyDescent="0.25">
      <c r="A11" s="103"/>
      <c r="B11" s="103">
        <v>6361</v>
      </c>
      <c r="C11" s="103"/>
      <c r="D11" s="103" t="s">
        <v>72</v>
      </c>
      <c r="E11" s="86">
        <f t="shared" ref="E11:G11" si="0">SUM(E12:E16)</f>
        <v>1823165.47</v>
      </c>
      <c r="F11" s="86">
        <f t="shared" si="0"/>
        <v>2297568.2000000002</v>
      </c>
      <c r="G11" s="86">
        <f t="shared" si="0"/>
        <v>2308210.92</v>
      </c>
      <c r="H11" s="86">
        <f t="shared" ref="H11:H44" si="1">(G11/E11)*100</f>
        <v>126.60457638000351</v>
      </c>
      <c r="I11" s="86">
        <f t="shared" ref="I11:I45" si="2">(G11/F11)*100</f>
        <v>100.46321671757119</v>
      </c>
    </row>
    <row r="12" spans="1:9" x14ac:dyDescent="0.25">
      <c r="A12" s="103"/>
      <c r="B12" s="103"/>
      <c r="C12" s="104">
        <v>11</v>
      </c>
      <c r="D12" s="104" t="s">
        <v>18</v>
      </c>
      <c r="E12" s="105"/>
      <c r="F12" s="86"/>
      <c r="G12" s="86"/>
      <c r="H12" s="86"/>
      <c r="I12" s="86"/>
    </row>
    <row r="13" spans="1:9" x14ac:dyDescent="0.25">
      <c r="A13" s="106"/>
      <c r="B13" s="106"/>
      <c r="C13" s="107">
        <v>52</v>
      </c>
      <c r="D13" s="107" t="s">
        <v>53</v>
      </c>
      <c r="E13" s="105">
        <v>1823165.47</v>
      </c>
      <c r="F13" s="108">
        <v>2297568.2000000002</v>
      </c>
      <c r="G13" s="108">
        <v>2308210.92</v>
      </c>
      <c r="H13" s="86">
        <f t="shared" si="1"/>
        <v>126.60457638000351</v>
      </c>
      <c r="I13" s="86">
        <f t="shared" si="2"/>
        <v>100.46321671757119</v>
      </c>
    </row>
    <row r="14" spans="1:9" x14ac:dyDescent="0.25">
      <c r="A14" s="106"/>
      <c r="B14" s="106"/>
      <c r="C14" s="107">
        <v>43</v>
      </c>
      <c r="D14" s="107" t="s">
        <v>54</v>
      </c>
      <c r="E14" s="105"/>
      <c r="F14" s="108"/>
      <c r="G14" s="108"/>
      <c r="H14" s="86"/>
      <c r="I14" s="86"/>
    </row>
    <row r="15" spans="1:9" x14ac:dyDescent="0.25">
      <c r="A15" s="106"/>
      <c r="B15" s="106"/>
      <c r="C15" s="107">
        <v>51</v>
      </c>
      <c r="D15" s="107" t="s">
        <v>57</v>
      </c>
      <c r="E15" s="105"/>
      <c r="F15" s="108"/>
      <c r="G15" s="108"/>
      <c r="H15" s="86"/>
      <c r="I15" s="86"/>
    </row>
    <row r="16" spans="1:9" x14ac:dyDescent="0.25">
      <c r="A16" s="106"/>
      <c r="B16" s="106"/>
      <c r="C16" s="107">
        <v>61</v>
      </c>
      <c r="D16" s="107" t="s">
        <v>58</v>
      </c>
      <c r="E16" s="105"/>
      <c r="F16" s="108"/>
      <c r="G16" s="108"/>
      <c r="H16" s="86"/>
      <c r="I16" s="86"/>
    </row>
    <row r="17" spans="1:9" ht="24" customHeight="1" x14ac:dyDescent="0.25">
      <c r="A17" s="109"/>
      <c r="B17" s="109">
        <v>6362</v>
      </c>
      <c r="C17" s="110"/>
      <c r="D17" s="111" t="s">
        <v>71</v>
      </c>
      <c r="E17" s="86">
        <f>SUM(E18:E22)</f>
        <v>6776.1</v>
      </c>
      <c r="F17" s="86">
        <f>SUM(F18:F22)</f>
        <v>32000</v>
      </c>
      <c r="G17" s="86">
        <f>SUM(G18:G22)</f>
        <v>0</v>
      </c>
      <c r="H17" s="86">
        <f t="shared" si="1"/>
        <v>0</v>
      </c>
      <c r="I17" s="86">
        <f t="shared" si="2"/>
        <v>0</v>
      </c>
    </row>
    <row r="18" spans="1:9" x14ac:dyDescent="0.25">
      <c r="A18" s="106"/>
      <c r="B18" s="106"/>
      <c r="C18" s="107">
        <v>11</v>
      </c>
      <c r="D18" s="104" t="s">
        <v>18</v>
      </c>
      <c r="E18" s="105"/>
      <c r="F18" s="108"/>
      <c r="G18" s="108"/>
      <c r="H18" s="86"/>
      <c r="I18" s="86"/>
    </row>
    <row r="19" spans="1:9" x14ac:dyDescent="0.25">
      <c r="A19" s="106"/>
      <c r="B19" s="106"/>
      <c r="C19" s="107">
        <v>52</v>
      </c>
      <c r="D19" s="107" t="s">
        <v>53</v>
      </c>
      <c r="E19" s="105">
        <v>6776.1</v>
      </c>
      <c r="F19" s="108">
        <v>32000</v>
      </c>
      <c r="G19" s="108">
        <v>0</v>
      </c>
      <c r="H19" s="86">
        <f t="shared" si="1"/>
        <v>0</v>
      </c>
      <c r="I19" s="86">
        <f t="shared" si="2"/>
        <v>0</v>
      </c>
    </row>
    <row r="20" spans="1:9" x14ac:dyDescent="0.25">
      <c r="A20" s="106"/>
      <c r="B20" s="106"/>
      <c r="C20" s="107">
        <v>43</v>
      </c>
      <c r="D20" s="107" t="s">
        <v>54</v>
      </c>
      <c r="E20" s="105"/>
      <c r="F20" s="108"/>
      <c r="G20" s="108"/>
      <c r="H20" s="86"/>
      <c r="I20" s="86"/>
    </row>
    <row r="21" spans="1:9" x14ac:dyDescent="0.25">
      <c r="A21" s="106"/>
      <c r="B21" s="106"/>
      <c r="C21" s="107">
        <v>51</v>
      </c>
      <c r="D21" s="107" t="s">
        <v>57</v>
      </c>
      <c r="E21" s="105"/>
      <c r="F21" s="108"/>
      <c r="G21" s="108"/>
      <c r="H21" s="86"/>
      <c r="I21" s="86"/>
    </row>
    <row r="22" spans="1:9" x14ac:dyDescent="0.25">
      <c r="A22" s="106"/>
      <c r="B22" s="109"/>
      <c r="C22" s="107">
        <v>61</v>
      </c>
      <c r="D22" s="107" t="s">
        <v>58</v>
      </c>
      <c r="E22" s="105"/>
      <c r="F22" s="108"/>
      <c r="G22" s="108"/>
      <c r="H22" s="86"/>
      <c r="I22" s="86"/>
    </row>
    <row r="23" spans="1:9" ht="51" x14ac:dyDescent="0.25">
      <c r="A23" s="109"/>
      <c r="B23" s="109">
        <v>6381</v>
      </c>
      <c r="C23" s="110"/>
      <c r="D23" s="111" t="s">
        <v>73</v>
      </c>
      <c r="E23" s="86">
        <f>SUM(E24:E28)</f>
        <v>39068.19</v>
      </c>
      <c r="F23" s="86">
        <f t="shared" ref="F23:G23" si="3">SUM(F24:F28)</f>
        <v>26962.95</v>
      </c>
      <c r="G23" s="86">
        <f t="shared" si="3"/>
        <v>0</v>
      </c>
      <c r="H23" s="86">
        <f t="shared" si="1"/>
        <v>0</v>
      </c>
      <c r="I23" s="86">
        <f t="shared" si="2"/>
        <v>0</v>
      </c>
    </row>
    <row r="24" spans="1:9" x14ac:dyDescent="0.25">
      <c r="A24" s="106"/>
      <c r="B24" s="109"/>
      <c r="C24" s="107">
        <v>11</v>
      </c>
      <c r="D24" s="104" t="s">
        <v>18</v>
      </c>
      <c r="E24" s="105"/>
      <c r="F24" s="108"/>
      <c r="G24" s="108"/>
      <c r="H24" s="86"/>
      <c r="I24" s="86"/>
    </row>
    <row r="25" spans="1:9" x14ac:dyDescent="0.25">
      <c r="A25" s="106"/>
      <c r="B25" s="109"/>
      <c r="C25" s="107">
        <v>52</v>
      </c>
      <c r="D25" s="107" t="s">
        <v>53</v>
      </c>
      <c r="E25" s="105"/>
      <c r="F25" s="108"/>
      <c r="G25" s="108"/>
      <c r="H25" s="86"/>
      <c r="I25" s="86"/>
    </row>
    <row r="26" spans="1:9" x14ac:dyDescent="0.25">
      <c r="A26" s="106"/>
      <c r="B26" s="109"/>
      <c r="C26" s="107">
        <v>43</v>
      </c>
      <c r="D26" s="107" t="s">
        <v>54</v>
      </c>
      <c r="E26" s="105"/>
      <c r="F26" s="108"/>
      <c r="G26" s="108"/>
      <c r="H26" s="86"/>
      <c r="I26" s="86"/>
    </row>
    <row r="27" spans="1:9" x14ac:dyDescent="0.25">
      <c r="A27" s="106"/>
      <c r="B27" s="109"/>
      <c r="C27" s="107">
        <v>51</v>
      </c>
      <c r="D27" s="107" t="s">
        <v>57</v>
      </c>
      <c r="E27" s="105">
        <v>39068.19</v>
      </c>
      <c r="F27" s="108">
        <v>26962.95</v>
      </c>
      <c r="G27" s="108">
        <v>0</v>
      </c>
      <c r="H27" s="86">
        <f t="shared" si="1"/>
        <v>0</v>
      </c>
      <c r="I27" s="86">
        <f t="shared" si="2"/>
        <v>0</v>
      </c>
    </row>
    <row r="28" spans="1:9" x14ac:dyDescent="0.25">
      <c r="A28" s="106"/>
      <c r="B28" s="109"/>
      <c r="C28" s="107">
        <v>61</v>
      </c>
      <c r="D28" s="107" t="s">
        <v>58</v>
      </c>
      <c r="E28" s="105"/>
      <c r="F28" s="108"/>
      <c r="G28" s="108"/>
      <c r="H28" s="86"/>
      <c r="I28" s="86"/>
    </row>
    <row r="29" spans="1:9" x14ac:dyDescent="0.25">
      <c r="A29" s="109"/>
      <c r="B29" s="109">
        <v>6413</v>
      </c>
      <c r="C29" s="110"/>
      <c r="D29" s="109" t="s">
        <v>59</v>
      </c>
      <c r="E29" s="112">
        <f>E30</f>
        <v>234.41</v>
      </c>
      <c r="F29" s="86">
        <f>F30</f>
        <v>15</v>
      </c>
      <c r="G29" s="86">
        <f>G30</f>
        <v>40.32</v>
      </c>
      <c r="H29" s="86">
        <f>H30</f>
        <v>17.200631372381725</v>
      </c>
      <c r="I29" s="86">
        <f t="shared" si="2"/>
        <v>268.8</v>
      </c>
    </row>
    <row r="30" spans="1:9" x14ac:dyDescent="0.25">
      <c r="A30" s="106"/>
      <c r="B30" s="109"/>
      <c r="C30" s="107">
        <v>31</v>
      </c>
      <c r="D30" s="107" t="s">
        <v>44</v>
      </c>
      <c r="E30" s="105">
        <v>234.41</v>
      </c>
      <c r="F30" s="108">
        <v>15</v>
      </c>
      <c r="G30" s="108">
        <v>40.32</v>
      </c>
      <c r="H30" s="86">
        <f t="shared" si="1"/>
        <v>17.200631372381725</v>
      </c>
      <c r="I30" s="86">
        <f t="shared" si="2"/>
        <v>268.8</v>
      </c>
    </row>
    <row r="31" spans="1:9" ht="63.75" customHeight="1" x14ac:dyDescent="0.25">
      <c r="A31" s="106"/>
      <c r="B31" s="109">
        <v>6526</v>
      </c>
      <c r="C31" s="107"/>
      <c r="D31" s="111" t="s">
        <v>60</v>
      </c>
      <c r="E31" s="86">
        <f>E32+E33</f>
        <v>8125.32</v>
      </c>
      <c r="F31" s="86">
        <f>F32+F33</f>
        <v>7200</v>
      </c>
      <c r="G31" s="86">
        <f>G32</f>
        <v>5908</v>
      </c>
      <c r="H31" s="86">
        <f>(G31/E31)*100</f>
        <v>72.710982459767735</v>
      </c>
      <c r="I31" s="86">
        <f>(G31/F31)*100</f>
        <v>82.055555555555557</v>
      </c>
    </row>
    <row r="32" spans="1:9" x14ac:dyDescent="0.25">
      <c r="A32" s="106"/>
      <c r="B32" s="109"/>
      <c r="C32" s="107">
        <v>43</v>
      </c>
      <c r="D32" s="107" t="s">
        <v>54</v>
      </c>
      <c r="E32" s="105">
        <v>8125.32</v>
      </c>
      <c r="F32" s="108">
        <v>7200</v>
      </c>
      <c r="G32" s="108">
        <v>5908</v>
      </c>
      <c r="H32" s="86">
        <f t="shared" si="1"/>
        <v>72.710982459767735</v>
      </c>
      <c r="I32" s="86">
        <f t="shared" si="2"/>
        <v>82.055555555555557</v>
      </c>
    </row>
    <row r="33" spans="1:9" x14ac:dyDescent="0.25">
      <c r="A33" s="106"/>
      <c r="B33" s="109"/>
      <c r="C33" s="107">
        <v>52</v>
      </c>
      <c r="D33" s="107" t="s">
        <v>53</v>
      </c>
      <c r="E33" s="105"/>
      <c r="F33" s="108"/>
      <c r="G33" s="108"/>
      <c r="H33" s="86"/>
      <c r="I33" s="86"/>
    </row>
    <row r="34" spans="1:9" ht="51" x14ac:dyDescent="0.25">
      <c r="A34" s="106"/>
      <c r="B34" s="109">
        <v>6615</v>
      </c>
      <c r="C34" s="107"/>
      <c r="D34" s="111" t="s">
        <v>61</v>
      </c>
      <c r="E34" s="86">
        <f>SUM(E35:E37)</f>
        <v>0</v>
      </c>
      <c r="F34" s="86">
        <f>SUM(F35:F37)</f>
        <v>0</v>
      </c>
      <c r="G34" s="86">
        <f>SUM(G35:G37)</f>
        <v>500</v>
      </c>
      <c r="H34" s="86">
        <v>0</v>
      </c>
      <c r="I34" s="86"/>
    </row>
    <row r="35" spans="1:9" x14ac:dyDescent="0.25">
      <c r="A35" s="106"/>
      <c r="B35" s="109"/>
      <c r="C35" s="107">
        <v>31</v>
      </c>
      <c r="D35" s="107" t="s">
        <v>44</v>
      </c>
      <c r="E35" s="105"/>
      <c r="F35" s="108"/>
      <c r="G35" s="108"/>
      <c r="H35" s="86">
        <v>0</v>
      </c>
      <c r="I35" s="86"/>
    </row>
    <row r="36" spans="1:9" x14ac:dyDescent="0.25">
      <c r="A36" s="106"/>
      <c r="B36" s="109"/>
      <c r="C36" s="107">
        <v>52</v>
      </c>
      <c r="D36" s="107" t="s">
        <v>53</v>
      </c>
      <c r="E36" s="105"/>
      <c r="F36" s="108"/>
      <c r="G36" s="108"/>
      <c r="H36" s="86">
        <v>0</v>
      </c>
      <c r="I36" s="86"/>
    </row>
    <row r="37" spans="1:9" x14ac:dyDescent="0.25">
      <c r="A37" s="106"/>
      <c r="B37" s="109"/>
      <c r="C37" s="107">
        <v>61</v>
      </c>
      <c r="D37" s="107" t="s">
        <v>58</v>
      </c>
      <c r="E37" s="105"/>
      <c r="F37" s="108">
        <v>0</v>
      </c>
      <c r="G37" s="108">
        <v>500</v>
      </c>
      <c r="H37" s="86">
        <v>0</v>
      </c>
      <c r="I37" s="86"/>
    </row>
    <row r="38" spans="1:9" x14ac:dyDescent="0.25">
      <c r="A38" s="106"/>
      <c r="B38" s="109">
        <v>6631</v>
      </c>
      <c r="C38" s="107"/>
      <c r="D38" s="109" t="s">
        <v>111</v>
      </c>
      <c r="E38" s="112">
        <f>E39</f>
        <v>0</v>
      </c>
      <c r="F38" s="112">
        <f t="shared" ref="F38:G38" si="4">F39</f>
        <v>0</v>
      </c>
      <c r="G38" s="112">
        <f t="shared" si="4"/>
        <v>0</v>
      </c>
      <c r="H38" s="86">
        <v>0</v>
      </c>
      <c r="I38" s="86"/>
    </row>
    <row r="39" spans="1:9" x14ac:dyDescent="0.25">
      <c r="A39" s="106"/>
      <c r="B39" s="109"/>
      <c r="C39" s="107">
        <v>61</v>
      </c>
      <c r="D39" s="107" t="s">
        <v>58</v>
      </c>
      <c r="E39" s="105"/>
      <c r="F39" s="108"/>
      <c r="G39" s="108"/>
      <c r="H39" s="86">
        <v>0</v>
      </c>
      <c r="I39" s="86"/>
    </row>
    <row r="40" spans="1:9" x14ac:dyDescent="0.25">
      <c r="A40" s="109"/>
      <c r="B40" s="109">
        <v>6632</v>
      </c>
      <c r="C40" s="110"/>
      <c r="D40" s="109" t="s">
        <v>74</v>
      </c>
      <c r="E40" s="86">
        <f>E41</f>
        <v>0</v>
      </c>
      <c r="F40" s="86">
        <f>F41</f>
        <v>0</v>
      </c>
      <c r="G40" s="86">
        <f>G41</f>
        <v>0</v>
      </c>
      <c r="H40" s="86">
        <v>0</v>
      </c>
      <c r="I40" s="86"/>
    </row>
    <row r="41" spans="1:9" x14ac:dyDescent="0.25">
      <c r="A41" s="106"/>
      <c r="B41" s="109"/>
      <c r="C41" s="107">
        <v>61</v>
      </c>
      <c r="D41" s="107" t="s">
        <v>58</v>
      </c>
      <c r="E41" s="105"/>
      <c r="F41" s="108"/>
      <c r="G41" s="108"/>
      <c r="H41" s="86">
        <v>0</v>
      </c>
      <c r="I41" s="86"/>
    </row>
    <row r="42" spans="1:9" ht="38.25" x14ac:dyDescent="0.25">
      <c r="A42" s="109"/>
      <c r="B42" s="109">
        <v>6711</v>
      </c>
      <c r="C42" s="110"/>
      <c r="D42" s="103" t="s">
        <v>75</v>
      </c>
      <c r="E42" s="86">
        <f>SUM(E43:E45)</f>
        <v>116912.87</v>
      </c>
      <c r="F42" s="86">
        <f>SUM(F43:F45)</f>
        <v>161721.85</v>
      </c>
      <c r="G42" s="86">
        <f>SUM(G43:G45)</f>
        <v>206198.03</v>
      </c>
      <c r="H42" s="86">
        <f t="shared" si="1"/>
        <v>176.36897460476337</v>
      </c>
      <c r="I42" s="86">
        <f t="shared" si="2"/>
        <v>127.50165175577696</v>
      </c>
    </row>
    <row r="43" spans="1:9" ht="25.5" x14ac:dyDescent="0.25">
      <c r="A43" s="106"/>
      <c r="B43" s="106"/>
      <c r="C43" s="107">
        <v>43</v>
      </c>
      <c r="D43" s="113" t="s">
        <v>54</v>
      </c>
      <c r="E43" s="105"/>
      <c r="F43" s="108"/>
      <c r="G43" s="108"/>
      <c r="H43" s="86"/>
      <c r="I43" s="86"/>
    </row>
    <row r="44" spans="1:9" x14ac:dyDescent="0.25">
      <c r="A44" s="106"/>
      <c r="B44" s="106"/>
      <c r="C44" s="107">
        <v>11</v>
      </c>
      <c r="D44" s="113" t="s">
        <v>18</v>
      </c>
      <c r="E44" s="105">
        <v>116912.87</v>
      </c>
      <c r="F44" s="108">
        <v>161721.85</v>
      </c>
      <c r="G44" s="108">
        <v>206198.03</v>
      </c>
      <c r="H44" s="86">
        <f t="shared" si="1"/>
        <v>176.36897460476337</v>
      </c>
      <c r="I44" s="86">
        <f t="shared" si="2"/>
        <v>127.50165175577696</v>
      </c>
    </row>
    <row r="45" spans="1:9" x14ac:dyDescent="0.25">
      <c r="A45" s="106"/>
      <c r="B45" s="106"/>
      <c r="C45" s="107">
        <v>44</v>
      </c>
      <c r="D45" s="113" t="s">
        <v>62</v>
      </c>
      <c r="E45" s="105"/>
      <c r="F45" s="108"/>
      <c r="G45" s="108"/>
      <c r="H45" s="86"/>
      <c r="I45" s="86" t="e">
        <f t="shared" si="2"/>
        <v>#DIV/0!</v>
      </c>
    </row>
    <row r="46" spans="1:9" ht="25.5" x14ac:dyDescent="0.25">
      <c r="A46" s="114">
        <v>7</v>
      </c>
      <c r="B46" s="115"/>
      <c r="C46" s="115"/>
      <c r="D46" s="116" t="s">
        <v>19</v>
      </c>
      <c r="E46" s="105"/>
      <c r="F46" s="108"/>
      <c r="G46" s="108"/>
      <c r="H46" s="86"/>
      <c r="I46" s="86"/>
    </row>
    <row r="47" spans="1:9" ht="38.25" x14ac:dyDescent="0.25">
      <c r="A47" s="104"/>
      <c r="B47" s="103">
        <v>72</v>
      </c>
      <c r="C47" s="104"/>
      <c r="D47" s="117" t="s">
        <v>51</v>
      </c>
      <c r="E47" s="105"/>
      <c r="F47" s="108"/>
      <c r="G47" s="108"/>
      <c r="H47" s="86"/>
      <c r="I47" s="86"/>
    </row>
    <row r="48" spans="1:9" x14ac:dyDescent="0.25">
      <c r="A48" s="104"/>
      <c r="B48" s="104"/>
      <c r="C48" s="107">
        <v>11</v>
      </c>
      <c r="D48" s="107" t="s">
        <v>18</v>
      </c>
      <c r="E48" s="105"/>
      <c r="F48" s="108"/>
      <c r="G48" s="108"/>
      <c r="H48" s="86"/>
      <c r="I48" s="86"/>
    </row>
    <row r="50" spans="1:9" ht="15.75" x14ac:dyDescent="0.25">
      <c r="A50" s="153" t="s">
        <v>20</v>
      </c>
      <c r="B50" s="177"/>
      <c r="C50" s="177"/>
      <c r="D50" s="177"/>
      <c r="E50" s="177"/>
      <c r="F50" s="177"/>
      <c r="G50" s="177"/>
      <c r="H50" s="177"/>
      <c r="I50" s="177"/>
    </row>
    <row r="51" spans="1:9" ht="18" x14ac:dyDescent="0.25">
      <c r="A51" s="26"/>
      <c r="B51" s="26"/>
      <c r="C51" s="26"/>
      <c r="D51" s="26"/>
      <c r="E51" s="26"/>
      <c r="F51" s="26"/>
      <c r="G51" s="26"/>
      <c r="H51" s="4"/>
      <c r="I51" s="4"/>
    </row>
    <row r="52" spans="1:9" x14ac:dyDescent="0.25">
      <c r="A52" s="95" t="s">
        <v>14</v>
      </c>
      <c r="B52" s="100" t="s">
        <v>15</v>
      </c>
      <c r="C52" s="100" t="s">
        <v>16</v>
      </c>
      <c r="D52" s="100" t="s">
        <v>21</v>
      </c>
      <c r="E52" s="100" t="s">
        <v>108</v>
      </c>
      <c r="F52" s="95" t="s">
        <v>122</v>
      </c>
      <c r="G52" s="95" t="s">
        <v>123</v>
      </c>
      <c r="H52" s="95" t="s">
        <v>109</v>
      </c>
      <c r="I52" s="95" t="s">
        <v>110</v>
      </c>
    </row>
    <row r="53" spans="1:9" ht="15.75" customHeight="1" x14ac:dyDescent="0.25">
      <c r="A53" s="103">
        <v>3</v>
      </c>
      <c r="B53" s="103"/>
      <c r="C53" s="103"/>
      <c r="D53" s="103" t="s">
        <v>22</v>
      </c>
      <c r="E53" s="86">
        <f>E54+E60+E66+E72+E78+E85+E92+E100+E108+E116+E124+E132+E140+E148+E156+E164+E172+E180+E188+E196+E212+E220+E228+E236+E244+E252+E260+E268+E276+E280+E284</f>
        <v>1954854.9999999998</v>
      </c>
      <c r="F53" s="86">
        <f>F54+F60+F66+F72+F78+F85+F92+F100+F108+F116+F124+F132+F140+F148+F156+F164+F172+F180+F188+F196+F212+F220+F228+F236+F244+F252+F260+F268+F276+F280+F284</f>
        <v>2491993</v>
      </c>
      <c r="G53" s="86">
        <f>SUM(G54,G60,G66,G72,G78,G85,G92,G100,G108,G116,G124,G132,G140,G148,G156,G164,G172,G180,G196,G204,G212,G220,G228,G236,G244,G252,G268,G276,G284)</f>
        <v>2554456.0499999998</v>
      </c>
      <c r="H53" s="86">
        <f>(G53/E53)*100</f>
        <v>130.67240537021928</v>
      </c>
      <c r="I53" s="86">
        <f>(G53/F53)*100</f>
        <v>102.5065499782704</v>
      </c>
    </row>
    <row r="54" spans="1:9" ht="15.75" customHeight="1" x14ac:dyDescent="0.25">
      <c r="A54" s="103"/>
      <c r="B54" s="103">
        <v>3111</v>
      </c>
      <c r="C54" s="103"/>
      <c r="D54" s="103" t="s">
        <v>76</v>
      </c>
      <c r="E54" s="86">
        <f>SUM(E55:E59)</f>
        <v>1346198.47</v>
      </c>
      <c r="F54" s="86">
        <f>SUM(F55:F59)</f>
        <v>1747293</v>
      </c>
      <c r="G54" s="86">
        <f>SUM(G55:G59)</f>
        <v>1704053.21</v>
      </c>
      <c r="H54" s="86">
        <f t="shared" ref="H54:H116" si="5">(G54/E54)*100</f>
        <v>126.58261378056683</v>
      </c>
      <c r="I54" s="86">
        <f t="shared" ref="I54:I116" si="6">(G54/F54)*100</f>
        <v>97.525326891368536</v>
      </c>
    </row>
    <row r="55" spans="1:9" x14ac:dyDescent="0.25">
      <c r="A55" s="106"/>
      <c r="B55" s="106"/>
      <c r="C55" s="107">
        <v>11</v>
      </c>
      <c r="D55" s="107" t="s">
        <v>18</v>
      </c>
      <c r="E55" s="105">
        <f>5459.17+2570.3+1404.66+820</f>
        <v>10254.130000000001</v>
      </c>
      <c r="F55" s="105">
        <f>22867+15244+2449.95+1633.35+1960</f>
        <v>44154.299999999996</v>
      </c>
      <c r="G55" s="105">
        <v>79575.19</v>
      </c>
      <c r="H55" s="86">
        <f t="shared" si="5"/>
        <v>776.03063351059518</v>
      </c>
      <c r="I55" s="86">
        <f t="shared" si="6"/>
        <v>180.22070330635978</v>
      </c>
    </row>
    <row r="56" spans="1:9" ht="25.5" x14ac:dyDescent="0.25">
      <c r="A56" s="106"/>
      <c r="B56" s="106"/>
      <c r="C56" s="107">
        <v>43</v>
      </c>
      <c r="D56" s="113" t="s">
        <v>54</v>
      </c>
      <c r="E56" s="105"/>
      <c r="F56" s="105"/>
      <c r="G56" s="105"/>
      <c r="H56" s="86"/>
      <c r="I56" s="86"/>
    </row>
    <row r="57" spans="1:9" x14ac:dyDescent="0.25">
      <c r="A57" s="106"/>
      <c r="B57" s="106"/>
      <c r="C57" s="107">
        <v>44</v>
      </c>
      <c r="D57" s="113" t="s">
        <v>62</v>
      </c>
      <c r="E57" s="105"/>
      <c r="F57" s="108"/>
      <c r="G57" s="108"/>
      <c r="H57" s="86"/>
      <c r="I57" s="86"/>
    </row>
    <row r="58" spans="1:9" x14ac:dyDescent="0.25">
      <c r="A58" s="106"/>
      <c r="B58" s="106"/>
      <c r="C58" s="107">
        <v>51</v>
      </c>
      <c r="D58" s="107" t="s">
        <v>57</v>
      </c>
      <c r="E58" s="105">
        <f>12380.24+6765.81</f>
        <v>19146.05</v>
      </c>
      <c r="F58" s="105">
        <f>11800.59+7867.3</f>
        <v>19667.89</v>
      </c>
      <c r="G58" s="105">
        <v>0</v>
      </c>
      <c r="H58" s="86">
        <f t="shared" si="5"/>
        <v>0</v>
      </c>
      <c r="I58" s="86">
        <f t="shared" si="6"/>
        <v>0</v>
      </c>
    </row>
    <row r="59" spans="1:9" x14ac:dyDescent="0.25">
      <c r="A59" s="106"/>
      <c r="B59" s="106"/>
      <c r="C59" s="107">
        <v>52</v>
      </c>
      <c r="D59" s="107" t="s">
        <v>53</v>
      </c>
      <c r="E59" s="105">
        <f>1313689.57+2184.74+1193.98-270</f>
        <v>1316798.29</v>
      </c>
      <c r="F59" s="105">
        <f>1680000+2082.46+1388.35</f>
        <v>1683470.81</v>
      </c>
      <c r="G59" s="105">
        <v>1624478.02</v>
      </c>
      <c r="H59" s="86">
        <f t="shared" si="5"/>
        <v>123.36574495399748</v>
      </c>
      <c r="I59" s="86">
        <f t="shared" si="6"/>
        <v>96.495764010306772</v>
      </c>
    </row>
    <row r="60" spans="1:9" ht="25.5" x14ac:dyDescent="0.25">
      <c r="A60" s="103"/>
      <c r="B60" s="103">
        <v>3113</v>
      </c>
      <c r="C60" s="103"/>
      <c r="D60" s="103" t="s">
        <v>115</v>
      </c>
      <c r="E60" s="86">
        <f>SUM(E61:E65)</f>
        <v>0</v>
      </c>
      <c r="F60" s="86">
        <f>SUM(F61:F65)</f>
        <v>0</v>
      </c>
      <c r="G60" s="86">
        <f>SUM(G61:G65)</f>
        <v>29976.880000000001</v>
      </c>
      <c r="H60" s="86"/>
      <c r="I60" s="86"/>
    </row>
    <row r="61" spans="1:9" x14ac:dyDescent="0.25">
      <c r="A61" s="106"/>
      <c r="B61" s="106"/>
      <c r="C61" s="107">
        <v>11</v>
      </c>
      <c r="D61" s="107" t="s">
        <v>18</v>
      </c>
      <c r="E61" s="105"/>
      <c r="F61" s="108"/>
      <c r="G61" s="108"/>
      <c r="H61" s="86"/>
      <c r="I61" s="86"/>
    </row>
    <row r="62" spans="1:9" x14ac:dyDescent="0.25">
      <c r="A62" s="106"/>
      <c r="B62" s="106"/>
      <c r="C62" s="107">
        <v>31</v>
      </c>
      <c r="D62" s="113" t="s">
        <v>44</v>
      </c>
      <c r="E62" s="105"/>
      <c r="F62" s="105"/>
      <c r="G62" s="105"/>
      <c r="H62" s="86"/>
      <c r="I62" s="86"/>
    </row>
    <row r="63" spans="1:9" x14ac:dyDescent="0.25">
      <c r="A63" s="106"/>
      <c r="B63" s="106"/>
      <c r="C63" s="107">
        <v>44</v>
      </c>
      <c r="D63" s="113" t="s">
        <v>62</v>
      </c>
      <c r="E63" s="105"/>
      <c r="F63" s="108"/>
      <c r="G63" s="108"/>
      <c r="H63" s="86"/>
      <c r="I63" s="86"/>
    </row>
    <row r="64" spans="1:9" x14ac:dyDescent="0.25">
      <c r="A64" s="106"/>
      <c r="B64" s="106"/>
      <c r="C64" s="107">
        <v>51</v>
      </c>
      <c r="D64" s="107" t="s">
        <v>57</v>
      </c>
      <c r="E64" s="105"/>
      <c r="F64" s="108"/>
      <c r="G64" s="108"/>
      <c r="H64" s="86"/>
      <c r="I64" s="86"/>
    </row>
    <row r="65" spans="1:9" x14ac:dyDescent="0.25">
      <c r="A65" s="106"/>
      <c r="B65" s="106"/>
      <c r="C65" s="107">
        <v>52</v>
      </c>
      <c r="D65" s="107" t="s">
        <v>53</v>
      </c>
      <c r="E65" s="105"/>
      <c r="F65" s="105"/>
      <c r="G65" s="105">
        <v>29976.880000000001</v>
      </c>
      <c r="H65" s="86"/>
      <c r="I65" s="86"/>
    </row>
    <row r="66" spans="1:9" ht="25.5" x14ac:dyDescent="0.25">
      <c r="A66" s="103"/>
      <c r="B66" s="103">
        <v>3114</v>
      </c>
      <c r="C66" s="103"/>
      <c r="D66" s="103" t="s">
        <v>116</v>
      </c>
      <c r="E66" s="86">
        <f>SUM(E67:E71)</f>
        <v>0</v>
      </c>
      <c r="F66" s="86">
        <f>SUM(F67:F71)</f>
        <v>0</v>
      </c>
      <c r="G66" s="86">
        <f>SUM(G67:G71)</f>
        <v>105325.93</v>
      </c>
      <c r="H66" s="86"/>
      <c r="I66" s="86"/>
    </row>
    <row r="67" spans="1:9" x14ac:dyDescent="0.25">
      <c r="A67" s="106"/>
      <c r="B67" s="106"/>
      <c r="C67" s="107">
        <v>11</v>
      </c>
      <c r="D67" s="107" t="s">
        <v>18</v>
      </c>
      <c r="E67" s="105"/>
      <c r="F67" s="108"/>
      <c r="G67" s="108"/>
      <c r="H67" s="86"/>
      <c r="I67" s="86"/>
    </row>
    <row r="68" spans="1:9" ht="25.5" x14ac:dyDescent="0.25">
      <c r="A68" s="106"/>
      <c r="B68" s="106"/>
      <c r="C68" s="107">
        <v>43</v>
      </c>
      <c r="D68" s="113" t="s">
        <v>54</v>
      </c>
      <c r="E68" s="105"/>
      <c r="F68" s="108"/>
      <c r="G68" s="108"/>
      <c r="H68" s="86"/>
      <c r="I68" s="86"/>
    </row>
    <row r="69" spans="1:9" x14ac:dyDescent="0.25">
      <c r="A69" s="106"/>
      <c r="B69" s="106"/>
      <c r="C69" s="107">
        <v>44</v>
      </c>
      <c r="D69" s="113" t="s">
        <v>62</v>
      </c>
      <c r="E69" s="105"/>
      <c r="F69" s="108"/>
      <c r="G69" s="108"/>
      <c r="H69" s="86"/>
      <c r="I69" s="86"/>
    </row>
    <row r="70" spans="1:9" x14ac:dyDescent="0.25">
      <c r="A70" s="106"/>
      <c r="B70" s="106"/>
      <c r="C70" s="107">
        <v>51</v>
      </c>
      <c r="D70" s="107" t="s">
        <v>57</v>
      </c>
      <c r="E70" s="105"/>
      <c r="F70" s="108"/>
      <c r="G70" s="108"/>
      <c r="H70" s="86"/>
      <c r="I70" s="86"/>
    </row>
    <row r="71" spans="1:9" x14ac:dyDescent="0.25">
      <c r="A71" s="106"/>
      <c r="B71" s="106"/>
      <c r="C71" s="107">
        <v>52</v>
      </c>
      <c r="D71" s="107" t="s">
        <v>53</v>
      </c>
      <c r="E71" s="105"/>
      <c r="F71" s="105"/>
      <c r="G71" s="105">
        <v>105325.93</v>
      </c>
      <c r="H71" s="86"/>
      <c r="I71" s="86"/>
    </row>
    <row r="72" spans="1:9" x14ac:dyDescent="0.25">
      <c r="A72" s="109"/>
      <c r="B72" s="109">
        <v>3121</v>
      </c>
      <c r="C72" s="109"/>
      <c r="D72" s="109" t="s">
        <v>77</v>
      </c>
      <c r="E72" s="86">
        <f>SUM(E73:E77)</f>
        <v>69357.84</v>
      </c>
      <c r="F72" s="86">
        <f>F73+F74+F75+F76+F77</f>
        <v>88400</v>
      </c>
      <c r="G72" s="86">
        <f>SUM(G73:G77)</f>
        <v>68771.61</v>
      </c>
      <c r="H72" s="86">
        <f t="shared" si="5"/>
        <v>99.154774716167637</v>
      </c>
      <c r="I72" s="86">
        <f t="shared" si="6"/>
        <v>77.795938914027147</v>
      </c>
    </row>
    <row r="73" spans="1:9" x14ac:dyDescent="0.25">
      <c r="A73" s="106"/>
      <c r="B73" s="106"/>
      <c r="C73" s="107">
        <v>11</v>
      </c>
      <c r="D73" s="107" t="s">
        <v>18</v>
      </c>
      <c r="E73" s="105">
        <f>900+315+102.15+33.18</f>
        <v>1350.3300000000002</v>
      </c>
      <c r="F73" s="105">
        <f>2100+2100+225+225</f>
        <v>4650</v>
      </c>
      <c r="G73" s="105">
        <f>4400+4700</f>
        <v>9100</v>
      </c>
      <c r="H73" s="86">
        <f t="shared" si="5"/>
        <v>673.90934067968567</v>
      </c>
      <c r="I73" s="86">
        <f t="shared" si="6"/>
        <v>195.69892473118279</v>
      </c>
    </row>
    <row r="74" spans="1:9" ht="25.5" x14ac:dyDescent="0.25">
      <c r="A74" s="106"/>
      <c r="B74" s="106"/>
      <c r="C74" s="107">
        <v>43</v>
      </c>
      <c r="D74" s="113" t="s">
        <v>54</v>
      </c>
      <c r="E74" s="105"/>
      <c r="F74" s="105"/>
      <c r="G74" s="105"/>
      <c r="H74" s="86"/>
      <c r="I74" s="86"/>
    </row>
    <row r="75" spans="1:9" x14ac:dyDescent="0.25">
      <c r="A75" s="106"/>
      <c r="B75" s="106"/>
      <c r="C75" s="107">
        <v>44</v>
      </c>
      <c r="D75" s="113" t="s">
        <v>62</v>
      </c>
      <c r="E75" s="105"/>
      <c r="F75" s="105"/>
      <c r="G75" s="105"/>
      <c r="H75" s="86"/>
      <c r="I75" s="86"/>
    </row>
    <row r="76" spans="1:9" x14ac:dyDescent="0.25">
      <c r="A76" s="106"/>
      <c r="B76" s="106"/>
      <c r="C76" s="107">
        <v>51</v>
      </c>
      <c r="D76" s="107" t="s">
        <v>57</v>
      </c>
      <c r="E76" s="105">
        <f>1517.25+1228.25</f>
        <v>2745.5</v>
      </c>
      <c r="F76" s="105">
        <v>2167.5</v>
      </c>
      <c r="G76" s="105"/>
      <c r="H76" s="86">
        <f t="shared" si="5"/>
        <v>0</v>
      </c>
      <c r="I76" s="86"/>
    </row>
    <row r="77" spans="1:9" x14ac:dyDescent="0.25">
      <c r="A77" s="106"/>
      <c r="B77" s="106"/>
      <c r="C77" s="107">
        <v>52</v>
      </c>
      <c r="D77" s="107" t="s">
        <v>53</v>
      </c>
      <c r="E77" s="105">
        <f>64777.51+267.75+216.75</f>
        <v>65262.01</v>
      </c>
      <c r="F77" s="105">
        <f>81200+382.5</f>
        <v>81582.5</v>
      </c>
      <c r="G77" s="105">
        <v>59671.61</v>
      </c>
      <c r="H77" s="86">
        <f t="shared" si="5"/>
        <v>91.433913849726665</v>
      </c>
      <c r="I77" s="86">
        <f t="shared" si="6"/>
        <v>73.142659271289801</v>
      </c>
    </row>
    <row r="78" spans="1:9" ht="25.5" x14ac:dyDescent="0.25">
      <c r="A78" s="109"/>
      <c r="B78" s="109">
        <v>3132</v>
      </c>
      <c r="C78" s="110"/>
      <c r="D78" s="111" t="s">
        <v>78</v>
      </c>
      <c r="E78" s="86">
        <f>SUM(E79:E84)</f>
        <v>216005.38</v>
      </c>
      <c r="F78" s="86">
        <f>SUM(F79:F84)</f>
        <v>286394</v>
      </c>
      <c r="G78" s="86">
        <f>SUM(G79:G84)</f>
        <v>288275.01999999996</v>
      </c>
      <c r="H78" s="86">
        <f t="shared" si="5"/>
        <v>133.45733333123459</v>
      </c>
      <c r="I78" s="86">
        <f t="shared" si="6"/>
        <v>100.65679448591797</v>
      </c>
    </row>
    <row r="79" spans="1:9" x14ac:dyDescent="0.25">
      <c r="A79" s="106"/>
      <c r="B79" s="106"/>
      <c r="C79" s="107">
        <v>11</v>
      </c>
      <c r="D79" s="107" t="s">
        <v>18</v>
      </c>
      <c r="E79" s="105">
        <f>900.78+424.1+231.78+20</f>
        <v>1576.66</v>
      </c>
      <c r="F79" s="105">
        <f>2187+2515+404.25+269.55</f>
        <v>5375.8</v>
      </c>
      <c r="G79" s="105">
        <v>12843.54</v>
      </c>
      <c r="H79" s="86">
        <f t="shared" si="5"/>
        <v>814.60429008156495</v>
      </c>
      <c r="I79" s="86">
        <f t="shared" si="6"/>
        <v>238.91402209903646</v>
      </c>
    </row>
    <row r="80" spans="1:9" x14ac:dyDescent="0.25">
      <c r="A80" s="106"/>
      <c r="B80" s="106"/>
      <c r="C80" s="107">
        <v>31</v>
      </c>
      <c r="D80" s="107" t="s">
        <v>44</v>
      </c>
      <c r="E80" s="105"/>
      <c r="F80" s="105"/>
      <c r="G80" s="105"/>
      <c r="H80" s="86"/>
      <c r="I80" s="86"/>
    </row>
    <row r="81" spans="1:9" ht="25.5" x14ac:dyDescent="0.25">
      <c r="A81" s="106"/>
      <c r="B81" s="106"/>
      <c r="C81" s="107">
        <v>43</v>
      </c>
      <c r="D81" s="113" t="s">
        <v>54</v>
      </c>
      <c r="E81" s="105"/>
      <c r="F81" s="105"/>
      <c r="G81" s="105"/>
      <c r="H81" s="86"/>
      <c r="I81" s="86"/>
    </row>
    <row r="82" spans="1:9" x14ac:dyDescent="0.25">
      <c r="A82" s="106"/>
      <c r="B82" s="106"/>
      <c r="C82" s="107">
        <v>44</v>
      </c>
      <c r="D82" s="113" t="s">
        <v>62</v>
      </c>
      <c r="E82" s="105"/>
      <c r="F82" s="105"/>
      <c r="G82" s="105"/>
      <c r="H82" s="86"/>
      <c r="I82" s="86"/>
    </row>
    <row r="83" spans="1:9" x14ac:dyDescent="0.25">
      <c r="A83" s="106"/>
      <c r="B83" s="106"/>
      <c r="C83" s="107">
        <v>51</v>
      </c>
      <c r="D83" s="107" t="s">
        <v>57</v>
      </c>
      <c r="E83" s="105">
        <f>2042.78+1116.35</f>
        <v>3159.13</v>
      </c>
      <c r="F83" s="105">
        <f>1947.13+1298.33</f>
        <v>3245.46</v>
      </c>
      <c r="G83" s="105"/>
      <c r="H83" s="86">
        <f t="shared" si="5"/>
        <v>0</v>
      </c>
      <c r="I83" s="86">
        <f t="shared" si="6"/>
        <v>0</v>
      </c>
    </row>
    <row r="84" spans="1:9" x14ac:dyDescent="0.25">
      <c r="A84" s="106"/>
      <c r="B84" s="106"/>
      <c r="C84" s="107">
        <v>52</v>
      </c>
      <c r="D84" s="107" t="s">
        <v>53</v>
      </c>
      <c r="E84" s="105">
        <f>210712.09+360.49+197.01</f>
        <v>211269.59</v>
      </c>
      <c r="F84" s="105">
        <f>277200+343.62+229.12</f>
        <v>277772.74</v>
      </c>
      <c r="G84" s="105">
        <v>275431.48</v>
      </c>
      <c r="H84" s="86">
        <f t="shared" si="5"/>
        <v>130.36967601442308</v>
      </c>
      <c r="I84" s="86">
        <f t="shared" si="6"/>
        <v>99.157131113729875</v>
      </c>
    </row>
    <row r="85" spans="1:9" ht="38.25" x14ac:dyDescent="0.25">
      <c r="A85" s="109"/>
      <c r="B85" s="109">
        <v>3133</v>
      </c>
      <c r="C85" s="110"/>
      <c r="D85" s="111" t="s">
        <v>120</v>
      </c>
      <c r="E85" s="86">
        <f>SUM(E86:E91)</f>
        <v>0</v>
      </c>
      <c r="F85" s="86">
        <f>SUM(F86:F91)</f>
        <v>0</v>
      </c>
      <c r="G85" s="86">
        <f>SUM(G86:G91)</f>
        <v>0</v>
      </c>
      <c r="H85" s="86"/>
      <c r="I85" s="86"/>
    </row>
    <row r="86" spans="1:9" x14ac:dyDescent="0.25">
      <c r="A86" s="106"/>
      <c r="B86" s="106"/>
      <c r="C86" s="107">
        <v>11</v>
      </c>
      <c r="D86" s="107" t="s">
        <v>18</v>
      </c>
      <c r="E86" s="105"/>
      <c r="F86" s="108"/>
      <c r="G86" s="108"/>
      <c r="H86" s="86"/>
      <c r="I86" s="86"/>
    </row>
    <row r="87" spans="1:9" x14ac:dyDescent="0.25">
      <c r="A87" s="106"/>
      <c r="B87" s="106"/>
      <c r="C87" s="107">
        <v>31</v>
      </c>
      <c r="D87" s="107" t="s">
        <v>44</v>
      </c>
      <c r="E87" s="105"/>
      <c r="F87" s="108"/>
      <c r="G87" s="108"/>
      <c r="H87" s="86"/>
      <c r="I87" s="86"/>
    </row>
    <row r="88" spans="1:9" ht="25.5" x14ac:dyDescent="0.25">
      <c r="A88" s="106"/>
      <c r="B88" s="106"/>
      <c r="C88" s="107">
        <v>43</v>
      </c>
      <c r="D88" s="113" t="s">
        <v>54</v>
      </c>
      <c r="E88" s="105"/>
      <c r="F88" s="108"/>
      <c r="G88" s="108"/>
      <c r="H88" s="86"/>
      <c r="I88" s="86"/>
    </row>
    <row r="89" spans="1:9" x14ac:dyDescent="0.25">
      <c r="A89" s="106"/>
      <c r="B89" s="106"/>
      <c r="C89" s="107">
        <v>44</v>
      </c>
      <c r="D89" s="113" t="s">
        <v>62</v>
      </c>
      <c r="E89" s="105"/>
      <c r="F89" s="108"/>
      <c r="G89" s="108"/>
      <c r="H89" s="86"/>
      <c r="I89" s="86"/>
    </row>
    <row r="90" spans="1:9" x14ac:dyDescent="0.25">
      <c r="A90" s="106"/>
      <c r="B90" s="106"/>
      <c r="C90" s="107">
        <v>51</v>
      </c>
      <c r="D90" s="107" t="s">
        <v>57</v>
      </c>
      <c r="E90" s="105"/>
      <c r="F90" s="108"/>
      <c r="G90" s="108"/>
      <c r="H90" s="86"/>
      <c r="I90" s="86"/>
    </row>
    <row r="91" spans="1:9" x14ac:dyDescent="0.25">
      <c r="A91" s="106"/>
      <c r="B91" s="106"/>
      <c r="C91" s="107">
        <v>52</v>
      </c>
      <c r="D91" s="107" t="s">
        <v>53</v>
      </c>
      <c r="E91" s="105"/>
      <c r="F91" s="105"/>
      <c r="G91" s="105"/>
      <c r="H91" s="86"/>
      <c r="I91" s="86"/>
    </row>
    <row r="92" spans="1:9" x14ac:dyDescent="0.25">
      <c r="A92" s="109"/>
      <c r="B92" s="109">
        <v>3211</v>
      </c>
      <c r="C92" s="110"/>
      <c r="D92" s="109" t="s">
        <v>79</v>
      </c>
      <c r="E92" s="86">
        <f>SUM(E93:E99)</f>
        <v>7458.2300000000014</v>
      </c>
      <c r="F92" s="86">
        <f>SUM(F93:F99)</f>
        <v>4725</v>
      </c>
      <c r="G92" s="86">
        <f>SUM(G93:G99)</f>
        <v>4770.75</v>
      </c>
      <c r="H92" s="86">
        <f t="shared" si="5"/>
        <v>63.966249364795658</v>
      </c>
      <c r="I92" s="86">
        <f t="shared" si="6"/>
        <v>100.96825396825398</v>
      </c>
    </row>
    <row r="93" spans="1:9" x14ac:dyDescent="0.25">
      <c r="A93" s="106"/>
      <c r="B93" s="106"/>
      <c r="C93" s="107">
        <v>11</v>
      </c>
      <c r="D93" s="107" t="s">
        <v>18</v>
      </c>
      <c r="E93" s="105">
        <f>4627.26+15.93+2521.68</f>
        <v>7164.8700000000008</v>
      </c>
      <c r="F93" s="108">
        <v>4725</v>
      </c>
      <c r="G93" s="108">
        <f>4680.75+60</f>
        <v>4740.75</v>
      </c>
      <c r="H93" s="86"/>
      <c r="I93" s="86"/>
    </row>
    <row r="94" spans="1:9" x14ac:dyDescent="0.25">
      <c r="A94" s="106"/>
      <c r="B94" s="106"/>
      <c r="C94" s="107">
        <v>31</v>
      </c>
      <c r="D94" s="107" t="s">
        <v>44</v>
      </c>
      <c r="E94" s="105"/>
      <c r="F94" s="108"/>
      <c r="G94" s="108"/>
      <c r="H94" s="86"/>
      <c r="I94" s="86"/>
    </row>
    <row r="95" spans="1:9" ht="25.5" x14ac:dyDescent="0.25">
      <c r="A95" s="106"/>
      <c r="B95" s="106"/>
      <c r="C95" s="107">
        <v>43</v>
      </c>
      <c r="D95" s="113" t="s">
        <v>54</v>
      </c>
      <c r="E95" s="105"/>
      <c r="F95" s="108"/>
      <c r="G95" s="108"/>
      <c r="H95" s="86"/>
      <c r="I95" s="86"/>
    </row>
    <row r="96" spans="1:9" x14ac:dyDescent="0.25">
      <c r="A96" s="106"/>
      <c r="B96" s="106"/>
      <c r="C96" s="107">
        <v>44</v>
      </c>
      <c r="D96" s="107" t="s">
        <v>62</v>
      </c>
      <c r="E96" s="105"/>
      <c r="F96" s="105"/>
      <c r="G96" s="105"/>
      <c r="H96" s="86"/>
      <c r="I96" s="86"/>
    </row>
    <row r="97" spans="1:9" x14ac:dyDescent="0.25">
      <c r="A97" s="106"/>
      <c r="B97" s="106"/>
      <c r="C97" s="107">
        <v>51</v>
      </c>
      <c r="D97" s="107" t="s">
        <v>57</v>
      </c>
      <c r="E97" s="105">
        <f>76.73+172.62</f>
        <v>249.35000000000002</v>
      </c>
      <c r="F97" s="108"/>
      <c r="G97" s="108">
        <v>30</v>
      </c>
      <c r="H97" s="86"/>
      <c r="I97" s="86"/>
    </row>
    <row r="98" spans="1:9" x14ac:dyDescent="0.25">
      <c r="A98" s="106"/>
      <c r="B98" s="106"/>
      <c r="C98" s="107">
        <v>52</v>
      </c>
      <c r="D98" s="107" t="s">
        <v>53</v>
      </c>
      <c r="E98" s="105">
        <f>13.54+30.47</f>
        <v>44.01</v>
      </c>
      <c r="F98" s="108"/>
      <c r="G98" s="108"/>
      <c r="H98" s="86"/>
      <c r="I98" s="86"/>
    </row>
    <row r="99" spans="1:9" x14ac:dyDescent="0.25">
      <c r="A99" s="106"/>
      <c r="B99" s="106"/>
      <c r="C99" s="107">
        <v>61</v>
      </c>
      <c r="D99" s="107" t="s">
        <v>58</v>
      </c>
      <c r="E99" s="105"/>
      <c r="F99" s="108"/>
      <c r="G99" s="108"/>
      <c r="H99" s="86"/>
      <c r="I99" s="86"/>
    </row>
    <row r="100" spans="1:9" x14ac:dyDescent="0.25">
      <c r="A100" s="109"/>
      <c r="B100" s="109">
        <v>3212</v>
      </c>
      <c r="C100" s="110"/>
      <c r="D100" s="109" t="s">
        <v>80</v>
      </c>
      <c r="E100" s="86">
        <f>SUM(E101:E107)</f>
        <v>120372.50000000001</v>
      </c>
      <c r="F100" s="86">
        <f>SUM(F101:F107)</f>
        <v>150636</v>
      </c>
      <c r="G100" s="86">
        <f>SUM(G101:G107)</f>
        <v>126551.62000000001</v>
      </c>
      <c r="H100" s="86">
        <f t="shared" si="5"/>
        <v>105.13333194874244</v>
      </c>
      <c r="I100" s="86">
        <f t="shared" si="6"/>
        <v>84.011537746621002</v>
      </c>
    </row>
    <row r="101" spans="1:9" x14ac:dyDescent="0.25">
      <c r="A101" s="106"/>
      <c r="B101" s="106"/>
      <c r="C101" s="107">
        <v>11</v>
      </c>
      <c r="D101" s="107" t="s">
        <v>18</v>
      </c>
      <c r="E101" s="105">
        <f>878.82+216.52+255</f>
        <v>1350.3400000000001</v>
      </c>
      <c r="F101" s="105">
        <f>3773+1458+234.45+156.3</f>
        <v>5621.75</v>
      </c>
      <c r="G101" s="105">
        <f>2816.18+2659.98</f>
        <v>5476.16</v>
      </c>
      <c r="H101" s="86">
        <f t="shared" si="5"/>
        <v>405.53934564628162</v>
      </c>
      <c r="I101" s="86">
        <f t="shared" si="6"/>
        <v>97.410237025837148</v>
      </c>
    </row>
    <row r="102" spans="1:9" x14ac:dyDescent="0.25">
      <c r="A102" s="106"/>
      <c r="B102" s="106"/>
      <c r="C102" s="107">
        <v>31</v>
      </c>
      <c r="D102" s="107" t="s">
        <v>44</v>
      </c>
      <c r="E102" s="105"/>
      <c r="F102" s="108"/>
      <c r="G102" s="108"/>
      <c r="H102" s="86"/>
      <c r="I102" s="86"/>
    </row>
    <row r="103" spans="1:9" ht="25.5" x14ac:dyDescent="0.25">
      <c r="A103" s="106"/>
      <c r="B103" s="106"/>
      <c r="C103" s="107">
        <v>43</v>
      </c>
      <c r="D103" s="113" t="s">
        <v>54</v>
      </c>
      <c r="E103" s="105"/>
      <c r="F103" s="105"/>
      <c r="G103" s="105"/>
      <c r="H103" s="86"/>
      <c r="I103" s="86"/>
    </row>
    <row r="104" spans="1:9" x14ac:dyDescent="0.25">
      <c r="A104" s="106"/>
      <c r="B104" s="106"/>
      <c r="C104" s="107">
        <v>44</v>
      </c>
      <c r="D104" s="107" t="s">
        <v>62</v>
      </c>
      <c r="E104" s="105"/>
      <c r="F104" s="108"/>
      <c r="G104" s="108"/>
      <c r="H104" s="86"/>
      <c r="I104" s="86"/>
    </row>
    <row r="105" spans="1:9" x14ac:dyDescent="0.25">
      <c r="A105" s="106"/>
      <c r="B105" s="106"/>
      <c r="C105" s="107">
        <v>51</v>
      </c>
      <c r="D105" s="107" t="s">
        <v>57</v>
      </c>
      <c r="E105" s="105">
        <f>1042.91+491.96</f>
        <v>1534.8700000000001</v>
      </c>
      <c r="F105" s="105">
        <f>1129.26+752.84</f>
        <v>1882.1</v>
      </c>
      <c r="G105" s="105"/>
      <c r="H105" s="86">
        <f>(G105/E105)*100</f>
        <v>0</v>
      </c>
      <c r="I105" s="86">
        <f t="shared" si="6"/>
        <v>0</v>
      </c>
    </row>
    <row r="106" spans="1:9" x14ac:dyDescent="0.25">
      <c r="A106" s="106"/>
      <c r="B106" s="106"/>
      <c r="C106" s="107">
        <v>52</v>
      </c>
      <c r="D106" s="107" t="s">
        <v>53</v>
      </c>
      <c r="E106" s="105">
        <f>117216.42+184.05+86.82</f>
        <v>117487.29000000001</v>
      </c>
      <c r="F106" s="105">
        <f>142800+199.29+132.86</f>
        <v>143132.15</v>
      </c>
      <c r="G106" s="105">
        <v>121075.46</v>
      </c>
      <c r="H106" s="86">
        <f t="shared" si="5"/>
        <v>103.05409206391603</v>
      </c>
      <c r="I106" s="86">
        <f t="shared" si="6"/>
        <v>84.589982055044942</v>
      </c>
    </row>
    <row r="107" spans="1:9" x14ac:dyDescent="0.25">
      <c r="A107" s="106"/>
      <c r="B107" s="106"/>
      <c r="C107" s="107">
        <v>61</v>
      </c>
      <c r="D107" s="107" t="s">
        <v>58</v>
      </c>
      <c r="E107" s="105"/>
      <c r="F107" s="108"/>
      <c r="G107" s="108"/>
      <c r="H107" s="86"/>
      <c r="I107" s="86"/>
    </row>
    <row r="108" spans="1:9" ht="25.5" x14ac:dyDescent="0.25">
      <c r="A108" s="109"/>
      <c r="B108" s="109">
        <v>3213</v>
      </c>
      <c r="C108" s="110"/>
      <c r="D108" s="111" t="s">
        <v>81</v>
      </c>
      <c r="E108" s="86">
        <f>SUM(E109:E115)</f>
        <v>1216.29</v>
      </c>
      <c r="F108" s="86">
        <f>SUM(F109:F115)</f>
        <v>1165</v>
      </c>
      <c r="G108" s="86">
        <f>SUM(G109:G115)</f>
        <v>945</v>
      </c>
      <c r="H108" s="86">
        <f t="shared" si="5"/>
        <v>77.69528648595319</v>
      </c>
      <c r="I108" s="86">
        <f t="shared" si="6"/>
        <v>81.115879828326172</v>
      </c>
    </row>
    <row r="109" spans="1:9" x14ac:dyDescent="0.25">
      <c r="A109" s="106"/>
      <c r="B109" s="106"/>
      <c r="C109" s="107">
        <v>11</v>
      </c>
      <c r="D109" s="107" t="s">
        <v>18</v>
      </c>
      <c r="E109" s="105">
        <v>1216.29</v>
      </c>
      <c r="F109" s="108">
        <v>1165</v>
      </c>
      <c r="G109" s="108">
        <v>945</v>
      </c>
      <c r="H109" s="86"/>
      <c r="I109" s="86"/>
    </row>
    <row r="110" spans="1:9" x14ac:dyDescent="0.25">
      <c r="A110" s="106"/>
      <c r="B110" s="106"/>
      <c r="C110" s="107">
        <v>31</v>
      </c>
      <c r="D110" s="107" t="s">
        <v>44</v>
      </c>
      <c r="E110" s="105"/>
      <c r="F110" s="108"/>
      <c r="G110" s="108"/>
      <c r="H110" s="86"/>
      <c r="I110" s="86"/>
    </row>
    <row r="111" spans="1:9" ht="25.5" x14ac:dyDescent="0.25">
      <c r="A111" s="106"/>
      <c r="B111" s="106"/>
      <c r="C111" s="107">
        <v>43</v>
      </c>
      <c r="D111" s="113" t="s">
        <v>54</v>
      </c>
      <c r="E111" s="105"/>
      <c r="F111" s="108"/>
      <c r="G111" s="108"/>
      <c r="H111" s="86"/>
      <c r="I111" s="86"/>
    </row>
    <row r="112" spans="1:9" x14ac:dyDescent="0.25">
      <c r="A112" s="106"/>
      <c r="B112" s="106"/>
      <c r="C112" s="107">
        <v>44</v>
      </c>
      <c r="D112" s="107" t="s">
        <v>62</v>
      </c>
      <c r="E112" s="105"/>
      <c r="F112" s="105"/>
      <c r="G112" s="105"/>
      <c r="H112" s="86"/>
      <c r="I112" s="86"/>
    </row>
    <row r="113" spans="1:9" x14ac:dyDescent="0.25">
      <c r="A113" s="106"/>
      <c r="B113" s="106"/>
      <c r="C113" s="107">
        <v>51</v>
      </c>
      <c r="D113" s="107" t="s">
        <v>57</v>
      </c>
      <c r="E113" s="105"/>
      <c r="F113" s="108"/>
      <c r="G113" s="108"/>
      <c r="H113" s="86"/>
      <c r="I113" s="86"/>
    </row>
    <row r="114" spans="1:9" x14ac:dyDescent="0.25">
      <c r="A114" s="106"/>
      <c r="B114" s="106"/>
      <c r="C114" s="107">
        <v>52</v>
      </c>
      <c r="D114" s="107" t="s">
        <v>53</v>
      </c>
      <c r="E114" s="105"/>
      <c r="F114" s="108"/>
      <c r="G114" s="108"/>
      <c r="H114" s="86"/>
      <c r="I114" s="86"/>
    </row>
    <row r="115" spans="1:9" x14ac:dyDescent="0.25">
      <c r="A115" s="106"/>
      <c r="B115" s="106"/>
      <c r="C115" s="107">
        <v>61</v>
      </c>
      <c r="D115" s="107" t="s">
        <v>58</v>
      </c>
      <c r="E115" s="105"/>
      <c r="F115" s="108"/>
      <c r="G115" s="108"/>
      <c r="H115" s="86"/>
      <c r="I115" s="86"/>
    </row>
    <row r="116" spans="1:9" ht="25.5" x14ac:dyDescent="0.25">
      <c r="A116" s="109"/>
      <c r="B116" s="109">
        <v>3214</v>
      </c>
      <c r="C116" s="110"/>
      <c r="D116" s="111" t="s">
        <v>82</v>
      </c>
      <c r="E116" s="86">
        <f>SUM(E117:E123)</f>
        <v>3572.2099999999996</v>
      </c>
      <c r="F116" s="86">
        <f>SUM(F117:F123)</f>
        <v>2900</v>
      </c>
      <c r="G116" s="86">
        <f>SUM(G117:G123)</f>
        <v>4716.07</v>
      </c>
      <c r="H116" s="86">
        <f t="shared" si="5"/>
        <v>132.02107378905495</v>
      </c>
      <c r="I116" s="86">
        <f t="shared" si="6"/>
        <v>162.62310344827586</v>
      </c>
    </row>
    <row r="117" spans="1:9" x14ac:dyDescent="0.25">
      <c r="A117" s="106"/>
      <c r="B117" s="106"/>
      <c r="C117" s="107">
        <v>11</v>
      </c>
      <c r="D117" s="107" t="s">
        <v>18</v>
      </c>
      <c r="E117" s="105">
        <f>3559.41+1.92</f>
        <v>3561.33</v>
      </c>
      <c r="F117" s="108">
        <v>2900</v>
      </c>
      <c r="G117" s="108">
        <v>4716.07</v>
      </c>
      <c r="H117" s="86"/>
      <c r="I117" s="86"/>
    </row>
    <row r="118" spans="1:9" x14ac:dyDescent="0.25">
      <c r="A118" s="106"/>
      <c r="B118" s="106"/>
      <c r="C118" s="107">
        <v>31</v>
      </c>
      <c r="D118" s="107" t="s">
        <v>44</v>
      </c>
      <c r="E118" s="105"/>
      <c r="F118" s="108"/>
      <c r="G118" s="108"/>
      <c r="H118" s="86"/>
      <c r="I118" s="86"/>
    </row>
    <row r="119" spans="1:9" ht="25.5" x14ac:dyDescent="0.25">
      <c r="A119" s="106"/>
      <c r="B119" s="106"/>
      <c r="C119" s="107">
        <v>43</v>
      </c>
      <c r="D119" s="113" t="s">
        <v>54</v>
      </c>
      <c r="E119" s="105"/>
      <c r="F119" s="108"/>
      <c r="G119" s="108"/>
      <c r="H119" s="86"/>
      <c r="I119" s="86"/>
    </row>
    <row r="120" spans="1:9" x14ac:dyDescent="0.25">
      <c r="A120" s="106"/>
      <c r="B120" s="106"/>
      <c r="C120" s="107">
        <v>44</v>
      </c>
      <c r="D120" s="107" t="s">
        <v>62</v>
      </c>
      <c r="E120" s="105"/>
      <c r="F120" s="105"/>
      <c r="G120" s="105"/>
      <c r="H120" s="86"/>
      <c r="I120" s="86"/>
    </row>
    <row r="121" spans="1:9" x14ac:dyDescent="0.25">
      <c r="A121" s="106"/>
      <c r="B121" s="106"/>
      <c r="C121" s="107">
        <v>51</v>
      </c>
      <c r="D121" s="107" t="s">
        <v>57</v>
      </c>
      <c r="E121" s="105">
        <v>9.24</v>
      </c>
      <c r="F121" s="108"/>
      <c r="G121" s="108"/>
      <c r="H121" s="86"/>
      <c r="I121" s="86"/>
    </row>
    <row r="122" spans="1:9" x14ac:dyDescent="0.25">
      <c r="A122" s="106"/>
      <c r="B122" s="106"/>
      <c r="C122" s="107">
        <v>52</v>
      </c>
      <c r="D122" s="107" t="s">
        <v>53</v>
      </c>
      <c r="E122" s="105">
        <v>1.64</v>
      </c>
      <c r="F122" s="108"/>
      <c r="G122" s="108"/>
      <c r="H122" s="86"/>
      <c r="I122" s="86"/>
    </row>
    <row r="123" spans="1:9" x14ac:dyDescent="0.25">
      <c r="A123" s="106"/>
      <c r="B123" s="106"/>
      <c r="C123" s="107">
        <v>61</v>
      </c>
      <c r="D123" s="107" t="s">
        <v>58</v>
      </c>
      <c r="E123" s="105"/>
      <c r="F123" s="108"/>
      <c r="G123" s="108"/>
      <c r="H123" s="86"/>
      <c r="I123" s="86"/>
    </row>
    <row r="124" spans="1:9" ht="25.5" x14ac:dyDescent="0.25">
      <c r="A124" s="109"/>
      <c r="B124" s="109">
        <v>3221</v>
      </c>
      <c r="C124" s="110"/>
      <c r="D124" s="111" t="s">
        <v>83</v>
      </c>
      <c r="E124" s="86">
        <f>SUM(E125:E131)</f>
        <v>14548.85</v>
      </c>
      <c r="F124" s="86">
        <f>SUM(F125:F131)</f>
        <v>10180</v>
      </c>
      <c r="G124" s="86">
        <f>SUM(G125:G131)</f>
        <v>11039.87</v>
      </c>
      <c r="H124" s="86">
        <f t="shared" ref="H124:H135" si="7">(G124/E124)*100</f>
        <v>75.881392687394538</v>
      </c>
      <c r="I124" s="86">
        <f t="shared" ref="I124" si="8">(G124/F124)*100</f>
        <v>108.4466601178782</v>
      </c>
    </row>
    <row r="125" spans="1:9" x14ac:dyDescent="0.25">
      <c r="A125" s="106"/>
      <c r="B125" s="106"/>
      <c r="C125" s="107">
        <v>11</v>
      </c>
      <c r="D125" s="107" t="s">
        <v>18</v>
      </c>
      <c r="E125" s="105">
        <f>9446.36+35.84</f>
        <v>9482.2000000000007</v>
      </c>
      <c r="F125" s="108">
        <v>10180</v>
      </c>
      <c r="G125" s="108">
        <v>8548.01</v>
      </c>
      <c r="H125" s="86"/>
      <c r="I125" s="86"/>
    </row>
    <row r="126" spans="1:9" x14ac:dyDescent="0.25">
      <c r="A126" s="106"/>
      <c r="B126" s="106"/>
      <c r="C126" s="107">
        <v>31</v>
      </c>
      <c r="D126" s="107" t="s">
        <v>44</v>
      </c>
      <c r="E126" s="105"/>
      <c r="F126" s="105"/>
      <c r="G126" s="105"/>
      <c r="H126" s="86"/>
      <c r="I126" s="86"/>
    </row>
    <row r="127" spans="1:9" ht="25.5" x14ac:dyDescent="0.25">
      <c r="A127" s="106"/>
      <c r="B127" s="106"/>
      <c r="C127" s="107">
        <v>43</v>
      </c>
      <c r="D127" s="113" t="s">
        <v>54</v>
      </c>
      <c r="E127" s="105"/>
      <c r="F127" s="108"/>
      <c r="G127" s="108"/>
      <c r="H127" s="86"/>
      <c r="I127" s="86"/>
    </row>
    <row r="128" spans="1:9" x14ac:dyDescent="0.25">
      <c r="A128" s="106"/>
      <c r="B128" s="106"/>
      <c r="C128" s="107">
        <v>44</v>
      </c>
      <c r="D128" s="107" t="s">
        <v>62</v>
      </c>
      <c r="E128" s="105"/>
      <c r="F128" s="105"/>
      <c r="G128" s="105"/>
      <c r="H128" s="86"/>
      <c r="I128" s="86"/>
    </row>
    <row r="129" spans="1:9" x14ac:dyDescent="0.25">
      <c r="A129" s="106"/>
      <c r="B129" s="106"/>
      <c r="C129" s="107">
        <v>51</v>
      </c>
      <c r="D129" s="107" t="s">
        <v>57</v>
      </c>
      <c r="E129" s="105"/>
      <c r="F129" s="108"/>
      <c r="G129" s="108"/>
      <c r="H129" s="86"/>
      <c r="I129" s="86"/>
    </row>
    <row r="130" spans="1:9" x14ac:dyDescent="0.25">
      <c r="A130" s="106"/>
      <c r="B130" s="106"/>
      <c r="C130" s="107">
        <v>52</v>
      </c>
      <c r="D130" s="107" t="s">
        <v>53</v>
      </c>
      <c r="E130" s="105">
        <f>2366.65+2700</f>
        <v>5066.6499999999996</v>
      </c>
      <c r="F130" s="108"/>
      <c r="G130" s="108">
        <v>2491.86</v>
      </c>
      <c r="H130" s="86"/>
      <c r="I130" s="86"/>
    </row>
    <row r="131" spans="1:9" x14ac:dyDescent="0.25">
      <c r="A131" s="106"/>
      <c r="B131" s="106"/>
      <c r="C131" s="107">
        <v>61</v>
      </c>
      <c r="D131" s="107" t="s">
        <v>58</v>
      </c>
      <c r="E131" s="105"/>
      <c r="F131" s="108"/>
      <c r="G131" s="108"/>
      <c r="H131" s="86"/>
      <c r="I131" s="86"/>
    </row>
    <row r="132" spans="1:9" x14ac:dyDescent="0.25">
      <c r="A132" s="109"/>
      <c r="B132" s="109">
        <v>3222</v>
      </c>
      <c r="C132" s="110"/>
      <c r="D132" s="109" t="s">
        <v>84</v>
      </c>
      <c r="E132" s="86">
        <f>SUM(E133:E139)</f>
        <v>44855.05</v>
      </c>
      <c r="F132" s="86">
        <f>SUM(F133:F139)</f>
        <v>90000</v>
      </c>
      <c r="G132" s="86">
        <f>SUM(G133:G139)</f>
        <v>71286.64</v>
      </c>
      <c r="H132" s="86">
        <f t="shared" si="7"/>
        <v>158.92667603759219</v>
      </c>
      <c r="I132" s="86">
        <f t="shared" ref="I132:I140" si="9">(G132/F132)*100</f>
        <v>79.207377777777779</v>
      </c>
    </row>
    <row r="133" spans="1:9" x14ac:dyDescent="0.25">
      <c r="A133" s="106"/>
      <c r="B133" s="106"/>
      <c r="C133" s="107">
        <v>11</v>
      </c>
      <c r="D133" s="107" t="s">
        <v>18</v>
      </c>
      <c r="E133" s="105"/>
      <c r="F133" s="108"/>
      <c r="G133" s="108"/>
      <c r="H133" s="86"/>
      <c r="I133" s="86"/>
    </row>
    <row r="134" spans="1:9" x14ac:dyDescent="0.25">
      <c r="A134" s="106"/>
      <c r="B134" s="106"/>
      <c r="C134" s="107">
        <v>31</v>
      </c>
      <c r="D134" s="107" t="s">
        <v>44</v>
      </c>
      <c r="E134" s="105"/>
      <c r="F134" s="108"/>
      <c r="G134" s="108"/>
      <c r="H134" s="86"/>
      <c r="I134" s="86"/>
    </row>
    <row r="135" spans="1:9" ht="25.5" x14ac:dyDescent="0.25">
      <c r="A135" s="106"/>
      <c r="B135" s="106"/>
      <c r="C135" s="107">
        <v>43</v>
      </c>
      <c r="D135" s="113" t="s">
        <v>54</v>
      </c>
      <c r="E135" s="105">
        <v>5755.32</v>
      </c>
      <c r="F135" s="105"/>
      <c r="G135" s="105"/>
      <c r="H135" s="86">
        <f t="shared" si="7"/>
        <v>0</v>
      </c>
      <c r="I135" s="86"/>
    </row>
    <row r="136" spans="1:9" x14ac:dyDescent="0.25">
      <c r="A136" s="106"/>
      <c r="B136" s="106"/>
      <c r="C136" s="107">
        <v>44</v>
      </c>
      <c r="D136" s="107" t="s">
        <v>62</v>
      </c>
      <c r="E136" s="105"/>
      <c r="F136" s="105"/>
      <c r="G136" s="105"/>
      <c r="H136" s="86"/>
      <c r="I136" s="86"/>
    </row>
    <row r="137" spans="1:9" x14ac:dyDescent="0.25">
      <c r="A137" s="106"/>
      <c r="B137" s="106"/>
      <c r="C137" s="107">
        <v>51</v>
      </c>
      <c r="D137" s="107" t="s">
        <v>57</v>
      </c>
      <c r="E137" s="105">
        <v>13230.47</v>
      </c>
      <c r="F137" s="108"/>
      <c r="G137" s="108"/>
      <c r="H137" s="86"/>
      <c r="I137" s="86"/>
    </row>
    <row r="138" spans="1:9" x14ac:dyDescent="0.25">
      <c r="A138" s="106"/>
      <c r="B138" s="106"/>
      <c r="C138" s="107">
        <v>52</v>
      </c>
      <c r="D138" s="107" t="s">
        <v>53</v>
      </c>
      <c r="E138" s="105">
        <f>23534.47+2334.79</f>
        <v>25869.260000000002</v>
      </c>
      <c r="F138" s="108">
        <v>90000</v>
      </c>
      <c r="G138" s="108">
        <v>71286.64</v>
      </c>
      <c r="H138" s="86"/>
      <c r="I138" s="86">
        <f t="shared" si="9"/>
        <v>79.207377777777779</v>
      </c>
    </row>
    <row r="139" spans="1:9" x14ac:dyDescent="0.25">
      <c r="A139" s="106"/>
      <c r="B139" s="106"/>
      <c r="C139" s="107">
        <v>61</v>
      </c>
      <c r="D139" s="107" t="s">
        <v>58</v>
      </c>
      <c r="E139" s="105"/>
      <c r="F139" s="108"/>
      <c r="G139" s="108"/>
      <c r="H139" s="86"/>
      <c r="I139" s="86"/>
    </row>
    <row r="140" spans="1:9" x14ac:dyDescent="0.25">
      <c r="A140" s="109"/>
      <c r="B140" s="109">
        <v>3223</v>
      </c>
      <c r="C140" s="110"/>
      <c r="D140" s="109" t="s">
        <v>85</v>
      </c>
      <c r="E140" s="86">
        <f>SUM(E141:E147)</f>
        <v>19132.939999999999</v>
      </c>
      <c r="F140" s="86">
        <f>SUM(F141:F147)</f>
        <v>18900</v>
      </c>
      <c r="G140" s="86">
        <f>SUM(G141:G147)</f>
        <v>21940.1</v>
      </c>
      <c r="H140" s="86">
        <f t="shared" ref="H140:H148" si="10">(G140/E140)*100</f>
        <v>114.67186956108158</v>
      </c>
      <c r="I140" s="86">
        <f t="shared" si="9"/>
        <v>116.08518518518518</v>
      </c>
    </row>
    <row r="141" spans="1:9" x14ac:dyDescent="0.25">
      <c r="A141" s="106"/>
      <c r="B141" s="106"/>
      <c r="C141" s="107">
        <v>11</v>
      </c>
      <c r="D141" s="107" t="s">
        <v>18</v>
      </c>
      <c r="E141" s="105">
        <v>19132.939999999999</v>
      </c>
      <c r="F141" s="108">
        <v>18900</v>
      </c>
      <c r="G141" s="108">
        <v>21940.1</v>
      </c>
      <c r="H141" s="86"/>
      <c r="I141" s="86"/>
    </row>
    <row r="142" spans="1:9" x14ac:dyDescent="0.25">
      <c r="A142" s="106"/>
      <c r="B142" s="106"/>
      <c r="C142" s="107">
        <v>31</v>
      </c>
      <c r="D142" s="107" t="s">
        <v>44</v>
      </c>
      <c r="E142" s="105"/>
      <c r="F142" s="108"/>
      <c r="G142" s="108"/>
      <c r="H142" s="86"/>
      <c r="I142" s="86"/>
    </row>
    <row r="143" spans="1:9" ht="25.5" x14ac:dyDescent="0.25">
      <c r="A143" s="106"/>
      <c r="B143" s="106"/>
      <c r="C143" s="107">
        <v>43</v>
      </c>
      <c r="D143" s="113" t="s">
        <v>54</v>
      </c>
      <c r="E143" s="105"/>
      <c r="F143" s="108"/>
      <c r="G143" s="108"/>
      <c r="H143" s="86"/>
      <c r="I143" s="86"/>
    </row>
    <row r="144" spans="1:9" x14ac:dyDescent="0.25">
      <c r="A144" s="106"/>
      <c r="B144" s="106"/>
      <c r="C144" s="107">
        <v>44</v>
      </c>
      <c r="D144" s="107" t="s">
        <v>62</v>
      </c>
      <c r="E144" s="105"/>
      <c r="F144" s="105"/>
      <c r="G144" s="105"/>
      <c r="H144" s="86"/>
      <c r="I144" s="86"/>
    </row>
    <row r="145" spans="1:9" x14ac:dyDescent="0.25">
      <c r="A145" s="106"/>
      <c r="B145" s="106"/>
      <c r="C145" s="107">
        <v>51</v>
      </c>
      <c r="D145" s="107" t="s">
        <v>57</v>
      </c>
      <c r="E145" s="105"/>
      <c r="F145" s="108"/>
      <c r="G145" s="108"/>
      <c r="H145" s="86"/>
      <c r="I145" s="86"/>
    </row>
    <row r="146" spans="1:9" x14ac:dyDescent="0.25">
      <c r="A146" s="106"/>
      <c r="B146" s="106"/>
      <c r="C146" s="107">
        <v>52</v>
      </c>
      <c r="D146" s="107" t="s">
        <v>53</v>
      </c>
      <c r="E146" s="105"/>
      <c r="F146" s="108"/>
      <c r="G146" s="108"/>
      <c r="H146" s="86"/>
      <c r="I146" s="86"/>
    </row>
    <row r="147" spans="1:9" x14ac:dyDescent="0.25">
      <c r="A147" s="106"/>
      <c r="B147" s="106"/>
      <c r="C147" s="107">
        <v>61</v>
      </c>
      <c r="D147" s="107" t="s">
        <v>58</v>
      </c>
      <c r="E147" s="105"/>
      <c r="F147" s="108"/>
      <c r="G147" s="108"/>
      <c r="H147" s="86"/>
      <c r="I147" s="86"/>
    </row>
    <row r="148" spans="1:9" ht="38.25" x14ac:dyDescent="0.25">
      <c r="A148" s="109"/>
      <c r="B148" s="109">
        <v>3224</v>
      </c>
      <c r="C148" s="110"/>
      <c r="D148" s="111" t="s">
        <v>86</v>
      </c>
      <c r="E148" s="86">
        <f>SUM(E149:E155)</f>
        <v>1951.53</v>
      </c>
      <c r="F148" s="86">
        <f>SUM(F149:F155)</f>
        <v>2500</v>
      </c>
      <c r="G148" s="86">
        <f>SUM(G149:G155)</f>
        <v>1517.95</v>
      </c>
      <c r="H148" s="86">
        <f t="shared" si="10"/>
        <v>77.782560350084296</v>
      </c>
      <c r="I148" s="86">
        <f>(G148/F148)*100</f>
        <v>60.718000000000004</v>
      </c>
    </row>
    <row r="149" spans="1:9" x14ac:dyDescent="0.25">
      <c r="A149" s="106"/>
      <c r="B149" s="106"/>
      <c r="C149" s="107">
        <v>11</v>
      </c>
      <c r="D149" s="107" t="s">
        <v>18</v>
      </c>
      <c r="E149" s="105">
        <v>1951.53</v>
      </c>
      <c r="F149" s="108">
        <v>2500</v>
      </c>
      <c r="G149" s="108">
        <v>1517.95</v>
      </c>
      <c r="H149" s="86"/>
      <c r="I149" s="86"/>
    </row>
    <row r="150" spans="1:9" x14ac:dyDescent="0.25">
      <c r="A150" s="106"/>
      <c r="B150" s="106"/>
      <c r="C150" s="107">
        <v>31</v>
      </c>
      <c r="D150" s="107" t="s">
        <v>44</v>
      </c>
      <c r="E150" s="105"/>
      <c r="F150" s="108"/>
      <c r="G150" s="108"/>
      <c r="H150" s="86"/>
      <c r="I150" s="86"/>
    </row>
    <row r="151" spans="1:9" ht="25.5" x14ac:dyDescent="0.25">
      <c r="A151" s="106"/>
      <c r="B151" s="106"/>
      <c r="C151" s="107">
        <v>43</v>
      </c>
      <c r="D151" s="113" t="s">
        <v>54</v>
      </c>
      <c r="E151" s="105"/>
      <c r="F151" s="108"/>
      <c r="G151" s="108"/>
      <c r="H151" s="86"/>
      <c r="I151" s="86"/>
    </row>
    <row r="152" spans="1:9" x14ac:dyDescent="0.25">
      <c r="A152" s="106"/>
      <c r="B152" s="106"/>
      <c r="C152" s="107">
        <v>44</v>
      </c>
      <c r="D152" s="107" t="s">
        <v>62</v>
      </c>
      <c r="E152" s="105"/>
      <c r="F152" s="105"/>
      <c r="G152" s="105"/>
      <c r="H152" s="86"/>
      <c r="I152" s="86"/>
    </row>
    <row r="153" spans="1:9" x14ac:dyDescent="0.25">
      <c r="A153" s="106"/>
      <c r="B153" s="106"/>
      <c r="C153" s="107">
        <v>51</v>
      </c>
      <c r="D153" s="107" t="s">
        <v>57</v>
      </c>
      <c r="E153" s="105"/>
      <c r="F153" s="108"/>
      <c r="G153" s="108"/>
      <c r="H153" s="86"/>
      <c r="I153" s="86"/>
    </row>
    <row r="154" spans="1:9" x14ac:dyDescent="0.25">
      <c r="A154" s="106"/>
      <c r="B154" s="106"/>
      <c r="C154" s="107">
        <v>52</v>
      </c>
      <c r="D154" s="107" t="s">
        <v>53</v>
      </c>
      <c r="E154" s="105"/>
      <c r="F154" s="108"/>
      <c r="G154" s="108"/>
      <c r="H154" s="86"/>
      <c r="I154" s="86"/>
    </row>
    <row r="155" spans="1:9" x14ac:dyDescent="0.25">
      <c r="A155" s="106"/>
      <c r="B155" s="106"/>
      <c r="C155" s="107">
        <v>61</v>
      </c>
      <c r="D155" s="107" t="s">
        <v>58</v>
      </c>
      <c r="E155" s="105"/>
      <c r="F155" s="108"/>
      <c r="G155" s="108"/>
      <c r="H155" s="86"/>
      <c r="I155" s="86"/>
    </row>
    <row r="156" spans="1:9" x14ac:dyDescent="0.25">
      <c r="A156" s="109"/>
      <c r="B156" s="109">
        <v>3225</v>
      </c>
      <c r="C156" s="110"/>
      <c r="D156" s="111" t="s">
        <v>119</v>
      </c>
      <c r="E156" s="86">
        <f>SUM(E157:E163)</f>
        <v>6473.5</v>
      </c>
      <c r="F156" s="86">
        <f>SUM(F157:F163)</f>
        <v>6618</v>
      </c>
      <c r="G156" s="86">
        <f>SUM(G157:G163)</f>
        <v>5985.68</v>
      </c>
      <c r="H156" s="86">
        <f>(G156/E156)*100</f>
        <v>92.4643546767591</v>
      </c>
      <c r="I156" s="86"/>
    </row>
    <row r="157" spans="1:9" x14ac:dyDescent="0.25">
      <c r="A157" s="106"/>
      <c r="B157" s="106"/>
      <c r="C157" s="107">
        <v>11</v>
      </c>
      <c r="D157" s="107" t="s">
        <v>18</v>
      </c>
      <c r="E157" s="105">
        <v>5824.2</v>
      </c>
      <c r="F157" s="108">
        <v>6603</v>
      </c>
      <c r="G157" s="108">
        <v>3335.51</v>
      </c>
      <c r="H157" s="86"/>
      <c r="I157" s="86"/>
    </row>
    <row r="158" spans="1:9" x14ac:dyDescent="0.25">
      <c r="A158" s="106"/>
      <c r="B158" s="106"/>
      <c r="C158" s="107">
        <v>31</v>
      </c>
      <c r="D158" s="107" t="s">
        <v>44</v>
      </c>
      <c r="E158" s="105"/>
      <c r="F158" s="108">
        <v>15</v>
      </c>
      <c r="G158" s="108">
        <v>0</v>
      </c>
      <c r="H158" s="86"/>
      <c r="I158" s="86"/>
    </row>
    <row r="159" spans="1:9" ht="25.5" x14ac:dyDescent="0.25">
      <c r="A159" s="106"/>
      <c r="B159" s="106"/>
      <c r="C159" s="107">
        <v>43</v>
      </c>
      <c r="D159" s="113" t="s">
        <v>54</v>
      </c>
      <c r="E159" s="105">
        <v>649.29999999999995</v>
      </c>
      <c r="F159" s="108"/>
      <c r="G159" s="108"/>
      <c r="H159" s="86"/>
      <c r="I159" s="86"/>
    </row>
    <row r="160" spans="1:9" x14ac:dyDescent="0.25">
      <c r="A160" s="106"/>
      <c r="B160" s="106"/>
      <c r="C160" s="107">
        <v>44</v>
      </c>
      <c r="D160" s="107" t="s">
        <v>62</v>
      </c>
      <c r="E160" s="105"/>
      <c r="F160" s="105"/>
      <c r="G160" s="105"/>
      <c r="H160" s="86"/>
      <c r="I160" s="86"/>
    </row>
    <row r="161" spans="1:9" x14ac:dyDescent="0.25">
      <c r="A161" s="106"/>
      <c r="B161" s="106"/>
      <c r="C161" s="107">
        <v>51</v>
      </c>
      <c r="D161" s="107" t="s">
        <v>57</v>
      </c>
      <c r="E161" s="105"/>
      <c r="F161" s="108"/>
      <c r="G161" s="108"/>
      <c r="H161" s="86"/>
      <c r="I161" s="86"/>
    </row>
    <row r="162" spans="1:9" x14ac:dyDescent="0.25">
      <c r="A162" s="106"/>
      <c r="B162" s="106"/>
      <c r="C162" s="107">
        <v>52</v>
      </c>
      <c r="D162" s="107" t="s">
        <v>53</v>
      </c>
      <c r="E162" s="105"/>
      <c r="F162" s="108"/>
      <c r="G162" s="108">
        <v>2150.17</v>
      </c>
      <c r="H162" s="86"/>
      <c r="I162" s="86"/>
    </row>
    <row r="163" spans="1:9" x14ac:dyDescent="0.25">
      <c r="A163" s="106"/>
      <c r="B163" s="106"/>
      <c r="C163" s="107">
        <v>61</v>
      </c>
      <c r="D163" s="107" t="s">
        <v>58</v>
      </c>
      <c r="E163" s="105"/>
      <c r="F163" s="108"/>
      <c r="G163" s="108">
        <v>500</v>
      </c>
      <c r="H163" s="86"/>
      <c r="I163" s="86"/>
    </row>
    <row r="164" spans="1:9" ht="25.5" x14ac:dyDescent="0.25">
      <c r="A164" s="109"/>
      <c r="B164" s="109">
        <v>3227</v>
      </c>
      <c r="C164" s="110"/>
      <c r="D164" s="111" t="s">
        <v>87</v>
      </c>
      <c r="E164" s="86">
        <f>SUM(E165:E171)</f>
        <v>643.99</v>
      </c>
      <c r="F164" s="86">
        <f>SUM(F165:F171)</f>
        <v>650</v>
      </c>
      <c r="G164" s="86">
        <f>SUM(G165:G171)</f>
        <v>523.41</v>
      </c>
      <c r="H164" s="86">
        <f t="shared" ref="H164:H172" si="11">(G164/E164)*100</f>
        <v>81.276106771844283</v>
      </c>
      <c r="I164" s="86">
        <f t="shared" ref="I164:I172" si="12">(G164/F164)*100</f>
        <v>80.524615384615387</v>
      </c>
    </row>
    <row r="165" spans="1:9" x14ac:dyDescent="0.25">
      <c r="A165" s="106"/>
      <c r="B165" s="106"/>
      <c r="C165" s="107">
        <v>11</v>
      </c>
      <c r="D165" s="107" t="s">
        <v>18</v>
      </c>
      <c r="E165" s="105">
        <v>643.99</v>
      </c>
      <c r="F165" s="108">
        <v>650</v>
      </c>
      <c r="G165" s="108">
        <v>523.41</v>
      </c>
      <c r="H165" s="86"/>
      <c r="I165" s="86"/>
    </row>
    <row r="166" spans="1:9" x14ac:dyDescent="0.25">
      <c r="A166" s="106"/>
      <c r="B166" s="106"/>
      <c r="C166" s="107">
        <v>31</v>
      </c>
      <c r="D166" s="107" t="s">
        <v>44</v>
      </c>
      <c r="E166" s="105"/>
      <c r="F166" s="108"/>
      <c r="G166" s="108"/>
      <c r="H166" s="86"/>
      <c r="I166" s="86"/>
    </row>
    <row r="167" spans="1:9" ht="25.5" x14ac:dyDescent="0.25">
      <c r="A167" s="106"/>
      <c r="B167" s="106"/>
      <c r="C167" s="107">
        <v>43</v>
      </c>
      <c r="D167" s="113" t="s">
        <v>54</v>
      </c>
      <c r="E167" s="105"/>
      <c r="F167" s="108"/>
      <c r="G167" s="108"/>
      <c r="H167" s="86"/>
      <c r="I167" s="86"/>
    </row>
    <row r="168" spans="1:9" x14ac:dyDescent="0.25">
      <c r="A168" s="106"/>
      <c r="B168" s="106"/>
      <c r="C168" s="107">
        <v>44</v>
      </c>
      <c r="D168" s="107" t="s">
        <v>62</v>
      </c>
      <c r="E168" s="105"/>
      <c r="F168" s="105"/>
      <c r="G168" s="105"/>
      <c r="H168" s="86"/>
      <c r="I168" s="86"/>
    </row>
    <row r="169" spans="1:9" x14ac:dyDescent="0.25">
      <c r="A169" s="106"/>
      <c r="B169" s="106"/>
      <c r="C169" s="107">
        <v>51</v>
      </c>
      <c r="D169" s="107" t="s">
        <v>57</v>
      </c>
      <c r="E169" s="105"/>
      <c r="F169" s="108"/>
      <c r="G169" s="108"/>
      <c r="H169" s="86"/>
      <c r="I169" s="86"/>
    </row>
    <row r="170" spans="1:9" x14ac:dyDescent="0.25">
      <c r="A170" s="106"/>
      <c r="B170" s="106"/>
      <c r="C170" s="107">
        <v>52</v>
      </c>
      <c r="D170" s="107" t="s">
        <v>53</v>
      </c>
      <c r="E170" s="105"/>
      <c r="F170" s="108"/>
      <c r="G170" s="108"/>
      <c r="H170" s="86"/>
      <c r="I170" s="86"/>
    </row>
    <row r="171" spans="1:9" x14ac:dyDescent="0.25">
      <c r="A171" s="106"/>
      <c r="B171" s="106"/>
      <c r="C171" s="107">
        <v>61</v>
      </c>
      <c r="D171" s="107" t="s">
        <v>58</v>
      </c>
      <c r="E171" s="105"/>
      <c r="F171" s="108"/>
      <c r="G171" s="108"/>
      <c r="H171" s="86"/>
      <c r="I171" s="86"/>
    </row>
    <row r="172" spans="1:9" ht="25.5" x14ac:dyDescent="0.25">
      <c r="A172" s="109"/>
      <c r="B172" s="109">
        <v>3231</v>
      </c>
      <c r="C172" s="110"/>
      <c r="D172" s="111" t="s">
        <v>88</v>
      </c>
      <c r="E172" s="86">
        <f>SUM(E173:E179)</f>
        <v>3507.27</v>
      </c>
      <c r="F172" s="86">
        <f>SUM(F173:F179)</f>
        <v>3380</v>
      </c>
      <c r="G172" s="86">
        <f>SUM(G173:G179)</f>
        <v>3157.9</v>
      </c>
      <c r="H172" s="86">
        <f t="shared" si="11"/>
        <v>90.03869106170896</v>
      </c>
      <c r="I172" s="86">
        <f t="shared" si="12"/>
        <v>93.428994082840248</v>
      </c>
    </row>
    <row r="173" spans="1:9" x14ac:dyDescent="0.25">
      <c r="A173" s="106"/>
      <c r="B173" s="106"/>
      <c r="C173" s="107">
        <v>11</v>
      </c>
      <c r="D173" s="107" t="s">
        <v>18</v>
      </c>
      <c r="E173" s="105">
        <v>3507.27</v>
      </c>
      <c r="F173" s="108">
        <v>3380</v>
      </c>
      <c r="G173" s="108">
        <v>3157.9</v>
      </c>
      <c r="H173" s="86"/>
      <c r="I173" s="86"/>
    </row>
    <row r="174" spans="1:9" x14ac:dyDescent="0.25">
      <c r="A174" s="106"/>
      <c r="B174" s="106"/>
      <c r="C174" s="107">
        <v>31</v>
      </c>
      <c r="D174" s="107" t="s">
        <v>44</v>
      </c>
      <c r="E174" s="105"/>
      <c r="F174" s="108"/>
      <c r="G174" s="108"/>
      <c r="H174" s="86"/>
      <c r="I174" s="86"/>
    </row>
    <row r="175" spans="1:9" ht="25.5" x14ac:dyDescent="0.25">
      <c r="A175" s="106"/>
      <c r="B175" s="106"/>
      <c r="C175" s="107">
        <v>43</v>
      </c>
      <c r="D175" s="113" t="s">
        <v>54</v>
      </c>
      <c r="E175" s="105"/>
      <c r="F175" s="108"/>
      <c r="G175" s="108"/>
      <c r="H175" s="86"/>
      <c r="I175" s="86"/>
    </row>
    <row r="176" spans="1:9" x14ac:dyDescent="0.25">
      <c r="A176" s="106"/>
      <c r="B176" s="106"/>
      <c r="C176" s="107">
        <v>44</v>
      </c>
      <c r="D176" s="107" t="s">
        <v>62</v>
      </c>
      <c r="E176" s="105"/>
      <c r="F176" s="105"/>
      <c r="G176" s="105"/>
      <c r="H176" s="86"/>
      <c r="I176" s="86"/>
    </row>
    <row r="177" spans="1:9" x14ac:dyDescent="0.25">
      <c r="A177" s="106"/>
      <c r="B177" s="106"/>
      <c r="C177" s="107">
        <v>51</v>
      </c>
      <c r="D177" s="107" t="s">
        <v>57</v>
      </c>
      <c r="E177" s="105"/>
      <c r="F177" s="108"/>
      <c r="G177" s="108"/>
      <c r="H177" s="86"/>
      <c r="I177" s="86"/>
    </row>
    <row r="178" spans="1:9" x14ac:dyDescent="0.25">
      <c r="A178" s="106"/>
      <c r="B178" s="106"/>
      <c r="C178" s="107">
        <v>52</v>
      </c>
      <c r="D178" s="107" t="s">
        <v>53</v>
      </c>
      <c r="E178" s="105"/>
      <c r="F178" s="108"/>
      <c r="G178" s="108"/>
      <c r="H178" s="86"/>
      <c r="I178" s="86"/>
    </row>
    <row r="179" spans="1:9" x14ac:dyDescent="0.25">
      <c r="A179" s="106"/>
      <c r="B179" s="106"/>
      <c r="C179" s="107">
        <v>61</v>
      </c>
      <c r="D179" s="107" t="s">
        <v>58</v>
      </c>
      <c r="E179" s="105"/>
      <c r="F179" s="108"/>
      <c r="G179" s="108"/>
      <c r="H179" s="86"/>
      <c r="I179" s="86"/>
    </row>
    <row r="180" spans="1:9" ht="25.5" x14ac:dyDescent="0.25">
      <c r="A180" s="109"/>
      <c r="B180" s="109">
        <v>3232</v>
      </c>
      <c r="C180" s="110"/>
      <c r="D180" s="111" t="s">
        <v>89</v>
      </c>
      <c r="E180" s="86">
        <f>SUM(E181:E187)</f>
        <v>1661.42</v>
      </c>
      <c r="F180" s="86">
        <f>SUM(F181:F187)</f>
        <v>7480</v>
      </c>
      <c r="G180" s="86">
        <f>SUM(G181:G187)</f>
        <v>4606.05</v>
      </c>
      <c r="H180" s="86">
        <f t="shared" ref="H180" si="13">(G180/E180)*100</f>
        <v>277.23573810354998</v>
      </c>
      <c r="I180" s="86">
        <f>(G180/F180)*100</f>
        <v>61.57820855614974</v>
      </c>
    </row>
    <row r="181" spans="1:9" x14ac:dyDescent="0.25">
      <c r="A181" s="106"/>
      <c r="B181" s="106"/>
      <c r="C181" s="107">
        <v>11</v>
      </c>
      <c r="D181" s="107" t="s">
        <v>18</v>
      </c>
      <c r="E181" s="105">
        <v>1661.42</v>
      </c>
      <c r="F181" s="108">
        <v>1480</v>
      </c>
      <c r="G181" s="108">
        <v>2614.0500000000002</v>
      </c>
      <c r="H181" s="86"/>
      <c r="I181" s="86"/>
    </row>
    <row r="182" spans="1:9" x14ac:dyDescent="0.25">
      <c r="A182" s="106"/>
      <c r="B182" s="106"/>
      <c r="C182" s="107">
        <v>31</v>
      </c>
      <c r="D182" s="107" t="s">
        <v>44</v>
      </c>
      <c r="E182" s="105"/>
      <c r="F182" s="108"/>
      <c r="G182" s="108"/>
      <c r="H182" s="86"/>
      <c r="I182" s="86"/>
    </row>
    <row r="183" spans="1:9" ht="25.5" x14ac:dyDescent="0.25">
      <c r="A183" s="106"/>
      <c r="B183" s="106"/>
      <c r="C183" s="107">
        <v>43</v>
      </c>
      <c r="D183" s="113" t="s">
        <v>54</v>
      </c>
      <c r="E183" s="105"/>
      <c r="F183" s="108">
        <v>6000</v>
      </c>
      <c r="G183" s="108"/>
      <c r="H183" s="86"/>
      <c r="I183" s="86"/>
    </row>
    <row r="184" spans="1:9" x14ac:dyDescent="0.25">
      <c r="A184" s="106"/>
      <c r="B184" s="106"/>
      <c r="C184" s="107">
        <v>44</v>
      </c>
      <c r="D184" s="107" t="s">
        <v>62</v>
      </c>
      <c r="E184" s="105"/>
      <c r="F184" s="105"/>
      <c r="G184" s="105"/>
      <c r="H184" s="86"/>
      <c r="I184" s="86"/>
    </row>
    <row r="185" spans="1:9" x14ac:dyDescent="0.25">
      <c r="A185" s="106"/>
      <c r="B185" s="106"/>
      <c r="C185" s="107">
        <v>51</v>
      </c>
      <c r="D185" s="107" t="s">
        <v>57</v>
      </c>
      <c r="E185" s="105"/>
      <c r="F185" s="108"/>
      <c r="G185" s="108"/>
      <c r="H185" s="86"/>
      <c r="I185" s="86"/>
    </row>
    <row r="186" spans="1:9" x14ac:dyDescent="0.25">
      <c r="A186" s="106"/>
      <c r="B186" s="106"/>
      <c r="C186" s="107">
        <v>52</v>
      </c>
      <c r="D186" s="107" t="s">
        <v>53</v>
      </c>
      <c r="E186" s="105"/>
      <c r="F186" s="108"/>
      <c r="G186" s="108">
        <v>1992</v>
      </c>
      <c r="H186" s="86"/>
      <c r="I186" s="86"/>
    </row>
    <row r="187" spans="1:9" x14ac:dyDescent="0.25">
      <c r="A187" s="106"/>
      <c r="B187" s="106"/>
      <c r="C187" s="107">
        <v>61</v>
      </c>
      <c r="D187" s="107" t="s">
        <v>58</v>
      </c>
      <c r="E187" s="105"/>
      <c r="F187" s="108"/>
      <c r="G187" s="108"/>
      <c r="H187" s="86"/>
      <c r="I187" s="86"/>
    </row>
    <row r="188" spans="1:9" ht="25.5" x14ac:dyDescent="0.25">
      <c r="A188" s="109"/>
      <c r="B188" s="109">
        <v>3233</v>
      </c>
      <c r="C188" s="110"/>
      <c r="D188" s="111" t="s">
        <v>90</v>
      </c>
      <c r="E188" s="86">
        <f>SUM(E189:E195)</f>
        <v>0</v>
      </c>
      <c r="F188" s="86">
        <f>SUM(F189:F195)</f>
        <v>0</v>
      </c>
      <c r="G188" s="86">
        <f>SUM(G189:G195)</f>
        <v>0</v>
      </c>
      <c r="H188" s="86"/>
      <c r="I188" s="86"/>
    </row>
    <row r="189" spans="1:9" x14ac:dyDescent="0.25">
      <c r="A189" s="106"/>
      <c r="B189" s="106"/>
      <c r="C189" s="107">
        <v>11</v>
      </c>
      <c r="D189" s="107" t="s">
        <v>18</v>
      </c>
      <c r="E189" s="105"/>
      <c r="F189" s="108"/>
      <c r="G189" s="108"/>
      <c r="H189" s="86"/>
      <c r="I189" s="86"/>
    </row>
    <row r="190" spans="1:9" x14ac:dyDescent="0.25">
      <c r="A190" s="106"/>
      <c r="B190" s="106"/>
      <c r="C190" s="107">
        <v>31</v>
      </c>
      <c r="D190" s="107" t="s">
        <v>44</v>
      </c>
      <c r="E190" s="105"/>
      <c r="F190" s="108"/>
      <c r="G190" s="108"/>
      <c r="H190" s="86"/>
      <c r="I190" s="86"/>
    </row>
    <row r="191" spans="1:9" ht="25.5" x14ac:dyDescent="0.25">
      <c r="A191" s="106"/>
      <c r="B191" s="106"/>
      <c r="C191" s="107">
        <v>43</v>
      </c>
      <c r="D191" s="113" t="s">
        <v>54</v>
      </c>
      <c r="E191" s="105"/>
      <c r="F191" s="108"/>
      <c r="G191" s="108"/>
      <c r="H191" s="86"/>
      <c r="I191" s="86"/>
    </row>
    <row r="192" spans="1:9" x14ac:dyDescent="0.25">
      <c r="A192" s="106"/>
      <c r="B192" s="106"/>
      <c r="C192" s="107">
        <v>44</v>
      </c>
      <c r="D192" s="107" t="s">
        <v>62</v>
      </c>
      <c r="E192" s="105"/>
      <c r="F192" s="105"/>
      <c r="G192" s="105"/>
      <c r="H192" s="86"/>
      <c r="I192" s="86"/>
    </row>
    <row r="193" spans="1:9" x14ac:dyDescent="0.25">
      <c r="A193" s="106"/>
      <c r="B193" s="106"/>
      <c r="C193" s="107">
        <v>51</v>
      </c>
      <c r="D193" s="107" t="s">
        <v>57</v>
      </c>
      <c r="E193" s="105"/>
      <c r="F193" s="108"/>
      <c r="G193" s="108"/>
      <c r="H193" s="86"/>
      <c r="I193" s="86"/>
    </row>
    <row r="194" spans="1:9" x14ac:dyDescent="0.25">
      <c r="A194" s="106"/>
      <c r="B194" s="106"/>
      <c r="C194" s="107">
        <v>52</v>
      </c>
      <c r="D194" s="107" t="s">
        <v>53</v>
      </c>
      <c r="E194" s="105"/>
      <c r="F194" s="108"/>
      <c r="G194" s="108"/>
      <c r="H194" s="86"/>
      <c r="I194" s="86"/>
    </row>
    <row r="195" spans="1:9" x14ac:dyDescent="0.25">
      <c r="A195" s="106"/>
      <c r="B195" s="106"/>
      <c r="C195" s="107">
        <v>61</v>
      </c>
      <c r="D195" s="107" t="s">
        <v>58</v>
      </c>
      <c r="E195" s="105"/>
      <c r="F195" s="108"/>
      <c r="G195" s="108"/>
      <c r="H195" s="86"/>
      <c r="I195" s="86"/>
    </row>
    <row r="196" spans="1:9" x14ac:dyDescent="0.25">
      <c r="A196" s="109"/>
      <c r="B196" s="109">
        <v>3234</v>
      </c>
      <c r="C196" s="110"/>
      <c r="D196" s="111" t="s">
        <v>91</v>
      </c>
      <c r="E196" s="86">
        <f>SUM(E197:E203)</f>
        <v>5177.6899999999996</v>
      </c>
      <c r="F196" s="86">
        <f>SUM(F197:F203)</f>
        <v>4900</v>
      </c>
      <c r="G196" s="86">
        <f>SUM(G197:G203)</f>
        <v>5518.94</v>
      </c>
      <c r="H196" s="86">
        <f t="shared" ref="H196" si="14">(G196/E196)*100</f>
        <v>106.59077696810739</v>
      </c>
      <c r="I196" s="86">
        <f t="shared" ref="I196:I212" si="15">(G196/F196)*100</f>
        <v>112.63142857142856</v>
      </c>
    </row>
    <row r="197" spans="1:9" x14ac:dyDescent="0.25">
      <c r="A197" s="106"/>
      <c r="B197" s="106"/>
      <c r="C197" s="107">
        <v>11</v>
      </c>
      <c r="D197" s="107" t="s">
        <v>18</v>
      </c>
      <c r="E197" s="105">
        <f>5177.69</f>
        <v>5177.6899999999996</v>
      </c>
      <c r="F197" s="108">
        <f>4900</f>
        <v>4900</v>
      </c>
      <c r="G197" s="108">
        <v>5518.94</v>
      </c>
      <c r="H197" s="86"/>
      <c r="I197" s="86"/>
    </row>
    <row r="198" spans="1:9" x14ac:dyDescent="0.25">
      <c r="A198" s="106"/>
      <c r="B198" s="106"/>
      <c r="C198" s="107">
        <v>31</v>
      </c>
      <c r="D198" s="107" t="s">
        <v>44</v>
      </c>
      <c r="E198" s="105"/>
      <c r="F198" s="108"/>
      <c r="G198" s="108"/>
      <c r="H198" s="86"/>
      <c r="I198" s="86"/>
    </row>
    <row r="199" spans="1:9" ht="25.5" x14ac:dyDescent="0.25">
      <c r="A199" s="106"/>
      <c r="B199" s="106"/>
      <c r="C199" s="107">
        <v>43</v>
      </c>
      <c r="D199" s="113" t="s">
        <v>54</v>
      </c>
      <c r="E199" s="105"/>
      <c r="F199" s="108"/>
      <c r="G199" s="108"/>
      <c r="H199" s="86"/>
      <c r="I199" s="86"/>
    </row>
    <row r="200" spans="1:9" x14ac:dyDescent="0.25">
      <c r="A200" s="106"/>
      <c r="B200" s="106"/>
      <c r="C200" s="107">
        <v>44</v>
      </c>
      <c r="D200" s="107" t="s">
        <v>62</v>
      </c>
      <c r="E200" s="105"/>
      <c r="F200" s="105"/>
      <c r="G200" s="105"/>
      <c r="H200" s="86"/>
      <c r="I200" s="86"/>
    </row>
    <row r="201" spans="1:9" x14ac:dyDescent="0.25">
      <c r="A201" s="106"/>
      <c r="B201" s="106"/>
      <c r="C201" s="107">
        <v>51</v>
      </c>
      <c r="D201" s="107" t="s">
        <v>57</v>
      </c>
      <c r="E201" s="105"/>
      <c r="F201" s="108"/>
      <c r="G201" s="108"/>
      <c r="H201" s="86"/>
      <c r="I201" s="86"/>
    </row>
    <row r="202" spans="1:9" x14ac:dyDescent="0.25">
      <c r="A202" s="106"/>
      <c r="B202" s="106"/>
      <c r="C202" s="107">
        <v>52</v>
      </c>
      <c r="D202" s="107" t="s">
        <v>53</v>
      </c>
      <c r="E202" s="105"/>
      <c r="F202" s="108"/>
      <c r="G202" s="108"/>
      <c r="H202" s="86"/>
      <c r="I202" s="86"/>
    </row>
    <row r="203" spans="1:9" x14ac:dyDescent="0.25">
      <c r="A203" s="106"/>
      <c r="B203" s="106"/>
      <c r="C203" s="107">
        <v>61</v>
      </c>
      <c r="D203" s="107" t="s">
        <v>58</v>
      </c>
      <c r="E203" s="105"/>
      <c r="F203" s="108"/>
      <c r="G203" s="108"/>
      <c r="H203" s="86"/>
      <c r="I203" s="86"/>
    </row>
    <row r="204" spans="1:9" x14ac:dyDescent="0.25">
      <c r="A204" s="109"/>
      <c r="B204" s="109">
        <v>3235</v>
      </c>
      <c r="C204" s="110"/>
      <c r="D204" s="111" t="s">
        <v>157</v>
      </c>
      <c r="E204" s="86">
        <f>SUM(E205:E211)</f>
        <v>2553.4899999999998</v>
      </c>
      <c r="F204" s="86">
        <f>SUM(F205:F211)</f>
        <v>1475</v>
      </c>
      <c r="G204" s="86">
        <f>SUM(G205:G211)</f>
        <v>3460.66</v>
      </c>
      <c r="H204" s="86">
        <f t="shared" ref="H204" si="16">(G204/E204)*100</f>
        <v>135.52667134000919</v>
      </c>
      <c r="I204" s="86">
        <f t="shared" ref="I204" si="17">(G204/F204)*100</f>
        <v>234.62101694915253</v>
      </c>
    </row>
    <row r="205" spans="1:9" x14ac:dyDescent="0.25">
      <c r="A205" s="106"/>
      <c r="B205" s="106"/>
      <c r="C205" s="107">
        <v>11</v>
      </c>
      <c r="D205" s="107" t="s">
        <v>18</v>
      </c>
      <c r="E205" s="105">
        <v>2553.4899999999998</v>
      </c>
      <c r="F205" s="108">
        <v>1475</v>
      </c>
      <c r="G205" s="108">
        <v>3460.66</v>
      </c>
      <c r="H205" s="86"/>
      <c r="I205" s="86"/>
    </row>
    <row r="206" spans="1:9" x14ac:dyDescent="0.25">
      <c r="A206" s="106"/>
      <c r="B206" s="106"/>
      <c r="C206" s="107">
        <v>31</v>
      </c>
      <c r="D206" s="107" t="s">
        <v>44</v>
      </c>
      <c r="E206" s="105"/>
      <c r="F206" s="108"/>
      <c r="G206" s="108"/>
      <c r="H206" s="86"/>
      <c r="I206" s="86"/>
    </row>
    <row r="207" spans="1:9" ht="25.5" x14ac:dyDescent="0.25">
      <c r="A207" s="106"/>
      <c r="B207" s="106"/>
      <c r="C207" s="107">
        <v>43</v>
      </c>
      <c r="D207" s="113" t="s">
        <v>54</v>
      </c>
      <c r="E207" s="105"/>
      <c r="F207" s="108"/>
      <c r="G207" s="108"/>
      <c r="H207" s="86"/>
      <c r="I207" s="86"/>
    </row>
    <row r="208" spans="1:9" x14ac:dyDescent="0.25">
      <c r="A208" s="106"/>
      <c r="B208" s="106"/>
      <c r="C208" s="107">
        <v>44</v>
      </c>
      <c r="D208" s="107" t="s">
        <v>62</v>
      </c>
      <c r="E208" s="105"/>
      <c r="F208" s="105"/>
      <c r="G208" s="105"/>
      <c r="H208" s="86"/>
      <c r="I208" s="86"/>
    </row>
    <row r="209" spans="1:9" x14ac:dyDescent="0.25">
      <c r="A209" s="106"/>
      <c r="B209" s="106"/>
      <c r="C209" s="107">
        <v>51</v>
      </c>
      <c r="D209" s="107" t="s">
        <v>57</v>
      </c>
      <c r="E209" s="105"/>
      <c r="F209" s="108"/>
      <c r="G209" s="108"/>
      <c r="H209" s="86"/>
      <c r="I209" s="86"/>
    </row>
    <row r="210" spans="1:9" x14ac:dyDescent="0.25">
      <c r="A210" s="106"/>
      <c r="B210" s="106"/>
      <c r="C210" s="107">
        <v>52</v>
      </c>
      <c r="D210" s="107" t="s">
        <v>53</v>
      </c>
      <c r="E210" s="105"/>
      <c r="F210" s="108"/>
      <c r="G210" s="108"/>
      <c r="H210" s="86"/>
      <c r="I210" s="86"/>
    </row>
    <row r="211" spans="1:9" x14ac:dyDescent="0.25">
      <c r="A211" s="106"/>
      <c r="B211" s="106"/>
      <c r="C211" s="107">
        <v>61</v>
      </c>
      <c r="D211" s="107" t="s">
        <v>58</v>
      </c>
      <c r="E211" s="105"/>
      <c r="F211" s="108"/>
      <c r="G211" s="108"/>
      <c r="H211" s="86"/>
      <c r="I211" s="86"/>
    </row>
    <row r="212" spans="1:9" x14ac:dyDescent="0.25">
      <c r="A212" s="109"/>
      <c r="B212" s="109">
        <v>3236</v>
      </c>
      <c r="C212" s="110"/>
      <c r="D212" s="111" t="s">
        <v>92</v>
      </c>
      <c r="E212" s="86">
        <f>SUM(E213:E219)</f>
        <v>2264.5</v>
      </c>
      <c r="F212" s="86">
        <f>SUM(F213:F219)</f>
        <v>3820</v>
      </c>
      <c r="G212" s="86">
        <f>SUM(G213:G219)</f>
        <v>6006.33</v>
      </c>
      <c r="H212" s="86">
        <f>(G212/E212)*100</f>
        <v>265.23868403621111</v>
      </c>
      <c r="I212" s="86">
        <f t="shared" si="15"/>
        <v>157.23376963350785</v>
      </c>
    </row>
    <row r="213" spans="1:9" x14ac:dyDescent="0.25">
      <c r="A213" s="106"/>
      <c r="B213" s="106"/>
      <c r="C213" s="107">
        <v>11</v>
      </c>
      <c r="D213" s="107" t="s">
        <v>18</v>
      </c>
      <c r="E213" s="105">
        <v>2264.5</v>
      </c>
      <c r="F213" s="108">
        <v>3820</v>
      </c>
      <c r="G213" s="108">
        <v>6006.33</v>
      </c>
      <c r="H213" s="86"/>
      <c r="I213" s="86"/>
    </row>
    <row r="214" spans="1:9" x14ac:dyDescent="0.25">
      <c r="A214" s="106"/>
      <c r="B214" s="106"/>
      <c r="C214" s="107">
        <v>31</v>
      </c>
      <c r="D214" s="107" t="s">
        <v>44</v>
      </c>
      <c r="E214" s="105"/>
      <c r="F214" s="108"/>
      <c r="G214" s="108"/>
      <c r="H214" s="86"/>
      <c r="I214" s="86"/>
    </row>
    <row r="215" spans="1:9" ht="25.5" x14ac:dyDescent="0.25">
      <c r="A215" s="106"/>
      <c r="B215" s="106"/>
      <c r="C215" s="107">
        <v>43</v>
      </c>
      <c r="D215" s="113" t="s">
        <v>54</v>
      </c>
      <c r="E215" s="105"/>
      <c r="F215" s="108"/>
      <c r="G215" s="108"/>
      <c r="H215" s="86"/>
      <c r="I215" s="86"/>
    </row>
    <row r="216" spans="1:9" x14ac:dyDescent="0.25">
      <c r="A216" s="106"/>
      <c r="B216" s="106"/>
      <c r="C216" s="107">
        <v>44</v>
      </c>
      <c r="D216" s="107" t="s">
        <v>62</v>
      </c>
      <c r="E216" s="105"/>
      <c r="F216" s="105"/>
      <c r="G216" s="105"/>
      <c r="H216" s="86"/>
      <c r="I216" s="86"/>
    </row>
    <row r="217" spans="1:9" x14ac:dyDescent="0.25">
      <c r="A217" s="106"/>
      <c r="B217" s="106"/>
      <c r="C217" s="107">
        <v>51</v>
      </c>
      <c r="D217" s="107" t="s">
        <v>57</v>
      </c>
      <c r="E217" s="105"/>
      <c r="F217" s="108"/>
      <c r="G217" s="108"/>
      <c r="H217" s="86"/>
      <c r="I217" s="86"/>
    </row>
    <row r="218" spans="1:9" x14ac:dyDescent="0.25">
      <c r="A218" s="106"/>
      <c r="B218" s="106"/>
      <c r="C218" s="107">
        <v>52</v>
      </c>
      <c r="D218" s="107" t="s">
        <v>53</v>
      </c>
      <c r="E218" s="105"/>
      <c r="F218" s="105"/>
      <c r="G218" s="105"/>
      <c r="H218" s="86"/>
      <c r="I218" s="86"/>
    </row>
    <row r="219" spans="1:9" x14ac:dyDescent="0.25">
      <c r="A219" s="106"/>
      <c r="B219" s="106"/>
      <c r="C219" s="107">
        <v>61</v>
      </c>
      <c r="D219" s="107" t="s">
        <v>58</v>
      </c>
      <c r="E219" s="105"/>
      <c r="F219" s="108"/>
      <c r="G219" s="108"/>
      <c r="H219" s="86"/>
      <c r="I219" s="86"/>
    </row>
    <row r="220" spans="1:9" x14ac:dyDescent="0.25">
      <c r="A220" s="109"/>
      <c r="B220" s="109">
        <v>3237</v>
      </c>
      <c r="C220" s="110"/>
      <c r="D220" s="111" t="s">
        <v>93</v>
      </c>
      <c r="E220" s="86">
        <f>SUM(E221:E227)</f>
        <v>9911.92</v>
      </c>
      <c r="F220" s="86">
        <f>SUM(F221:F227)</f>
        <v>8922</v>
      </c>
      <c r="G220" s="86">
        <f>SUM(G221:G227)</f>
        <v>7088.78</v>
      </c>
      <c r="H220" s="86">
        <f t="shared" ref="H220:H228" si="18">(G220/E220)*100</f>
        <v>71.517728149541156</v>
      </c>
      <c r="I220" s="86">
        <f t="shared" ref="I220:I228" si="19">(G220/F220)*100</f>
        <v>79.452813270567134</v>
      </c>
    </row>
    <row r="221" spans="1:9" x14ac:dyDescent="0.25">
      <c r="A221" s="106"/>
      <c r="B221" s="106"/>
      <c r="C221" s="107">
        <v>11</v>
      </c>
      <c r="D221" s="107" t="s">
        <v>18</v>
      </c>
      <c r="E221" s="105">
        <f>5715.81+1991.2+2204.91</f>
        <v>9911.92</v>
      </c>
      <c r="F221" s="108">
        <f>6000+1992+930</f>
        <v>8922</v>
      </c>
      <c r="G221" s="108">
        <v>5987.74</v>
      </c>
      <c r="H221" s="86"/>
      <c r="I221" s="86"/>
    </row>
    <row r="222" spans="1:9" x14ac:dyDescent="0.25">
      <c r="A222" s="106"/>
      <c r="B222" s="106"/>
      <c r="C222" s="107">
        <v>31</v>
      </c>
      <c r="D222" s="107" t="s">
        <v>44</v>
      </c>
      <c r="E222" s="105"/>
      <c r="F222" s="108"/>
      <c r="G222" s="108"/>
      <c r="H222" s="86"/>
      <c r="I222" s="86"/>
    </row>
    <row r="223" spans="1:9" ht="25.5" x14ac:dyDescent="0.25">
      <c r="A223" s="106"/>
      <c r="B223" s="106"/>
      <c r="C223" s="107">
        <v>43</v>
      </c>
      <c r="D223" s="113" t="s">
        <v>54</v>
      </c>
      <c r="E223" s="105"/>
      <c r="F223" s="108"/>
      <c r="G223" s="108"/>
      <c r="H223" s="86"/>
      <c r="I223" s="86"/>
    </row>
    <row r="224" spans="1:9" x14ac:dyDescent="0.25">
      <c r="A224" s="106"/>
      <c r="B224" s="106"/>
      <c r="C224" s="107">
        <v>44</v>
      </c>
      <c r="D224" s="107" t="s">
        <v>62</v>
      </c>
      <c r="E224" s="105"/>
      <c r="F224" s="105"/>
      <c r="G224" s="105"/>
      <c r="H224" s="86"/>
      <c r="I224" s="86"/>
    </row>
    <row r="225" spans="1:9" x14ac:dyDescent="0.25">
      <c r="A225" s="106"/>
      <c r="B225" s="106"/>
      <c r="C225" s="107">
        <v>51</v>
      </c>
      <c r="D225" s="107" t="s">
        <v>57</v>
      </c>
      <c r="E225" s="105"/>
      <c r="F225" s="108"/>
      <c r="G225" s="108"/>
      <c r="H225" s="86"/>
      <c r="I225" s="86"/>
    </row>
    <row r="226" spans="1:9" x14ac:dyDescent="0.25">
      <c r="A226" s="106"/>
      <c r="B226" s="106"/>
      <c r="C226" s="107">
        <v>52</v>
      </c>
      <c r="D226" s="107" t="s">
        <v>53</v>
      </c>
      <c r="E226" s="105"/>
      <c r="F226" s="105"/>
      <c r="G226" s="105">
        <v>1101.04</v>
      </c>
      <c r="H226" s="86"/>
      <c r="I226" s="86"/>
    </row>
    <row r="227" spans="1:9" x14ac:dyDescent="0.25">
      <c r="A227" s="106"/>
      <c r="B227" s="106"/>
      <c r="C227" s="107">
        <v>61</v>
      </c>
      <c r="D227" s="107" t="s">
        <v>58</v>
      </c>
      <c r="E227" s="105"/>
      <c r="F227" s="108"/>
      <c r="G227" s="108"/>
      <c r="H227" s="86"/>
      <c r="I227" s="86"/>
    </row>
    <row r="228" spans="1:9" x14ac:dyDescent="0.25">
      <c r="A228" s="109"/>
      <c r="B228" s="109">
        <v>3238</v>
      </c>
      <c r="C228" s="110"/>
      <c r="D228" s="111" t="s">
        <v>94</v>
      </c>
      <c r="E228" s="86">
        <f>SUM(E229:E235)</f>
        <v>3995.5</v>
      </c>
      <c r="F228" s="86">
        <f>SUM(F229:F235)</f>
        <v>3000</v>
      </c>
      <c r="G228" s="86">
        <f>SUM(G229:G235)</f>
        <v>2618.0300000000002</v>
      </c>
      <c r="H228" s="86">
        <f t="shared" si="18"/>
        <v>65.524465023151052</v>
      </c>
      <c r="I228" s="86">
        <f t="shared" si="19"/>
        <v>87.26766666666667</v>
      </c>
    </row>
    <row r="229" spans="1:9" x14ac:dyDescent="0.25">
      <c r="A229" s="106"/>
      <c r="B229" s="106"/>
      <c r="C229" s="107">
        <v>11</v>
      </c>
      <c r="D229" s="107" t="s">
        <v>18</v>
      </c>
      <c r="E229" s="105">
        <v>3995.5</v>
      </c>
      <c r="F229" s="108">
        <v>3000</v>
      </c>
      <c r="G229" s="108">
        <v>2618.0300000000002</v>
      </c>
      <c r="H229" s="86"/>
      <c r="I229" s="86"/>
    </row>
    <row r="230" spans="1:9" x14ac:dyDescent="0.25">
      <c r="A230" s="106"/>
      <c r="B230" s="106"/>
      <c r="C230" s="107">
        <v>31</v>
      </c>
      <c r="D230" s="107" t="s">
        <v>44</v>
      </c>
      <c r="E230" s="105"/>
      <c r="F230" s="108"/>
      <c r="G230" s="108"/>
      <c r="H230" s="86"/>
      <c r="I230" s="86"/>
    </row>
    <row r="231" spans="1:9" ht="25.5" x14ac:dyDescent="0.25">
      <c r="A231" s="106"/>
      <c r="B231" s="106"/>
      <c r="C231" s="107">
        <v>43</v>
      </c>
      <c r="D231" s="113" t="s">
        <v>54</v>
      </c>
      <c r="E231" s="105"/>
      <c r="F231" s="108"/>
      <c r="G231" s="108"/>
      <c r="H231" s="86"/>
      <c r="I231" s="86"/>
    </row>
    <row r="232" spans="1:9" x14ac:dyDescent="0.25">
      <c r="A232" s="106"/>
      <c r="B232" s="106"/>
      <c r="C232" s="107">
        <v>44</v>
      </c>
      <c r="D232" s="107" t="s">
        <v>62</v>
      </c>
      <c r="E232" s="105"/>
      <c r="F232" s="105"/>
      <c r="G232" s="105"/>
      <c r="H232" s="86"/>
      <c r="I232" s="86"/>
    </row>
    <row r="233" spans="1:9" x14ac:dyDescent="0.25">
      <c r="A233" s="106"/>
      <c r="B233" s="106"/>
      <c r="C233" s="107">
        <v>51</v>
      </c>
      <c r="D233" s="107" t="s">
        <v>57</v>
      </c>
      <c r="E233" s="105"/>
      <c r="F233" s="108"/>
      <c r="G233" s="108"/>
      <c r="H233" s="86"/>
      <c r="I233" s="86"/>
    </row>
    <row r="234" spans="1:9" x14ac:dyDescent="0.25">
      <c r="A234" s="106"/>
      <c r="B234" s="106"/>
      <c r="C234" s="107">
        <v>52</v>
      </c>
      <c r="D234" s="107" t="s">
        <v>53</v>
      </c>
      <c r="E234" s="105"/>
      <c r="F234" s="108"/>
      <c r="G234" s="108"/>
      <c r="H234" s="86"/>
      <c r="I234" s="86"/>
    </row>
    <row r="235" spans="1:9" x14ac:dyDescent="0.25">
      <c r="A235" s="106"/>
      <c r="B235" s="106"/>
      <c r="C235" s="107">
        <v>61</v>
      </c>
      <c r="D235" s="107" t="s">
        <v>58</v>
      </c>
      <c r="E235" s="105"/>
      <c r="F235" s="108"/>
      <c r="G235" s="108"/>
      <c r="H235" s="86"/>
      <c r="I235" s="86"/>
    </row>
    <row r="236" spans="1:9" x14ac:dyDescent="0.25">
      <c r="A236" s="109"/>
      <c r="B236" s="109">
        <v>3239</v>
      </c>
      <c r="C236" s="110"/>
      <c r="D236" s="111" t="s">
        <v>95</v>
      </c>
      <c r="E236" s="86">
        <f>SUM(E237:E243)</f>
        <v>13110.97</v>
      </c>
      <c r="F236" s="86">
        <f>SUM(F237:F243)</f>
        <v>12700</v>
      </c>
      <c r="G236" s="86">
        <f>SUM(G237:G243)</f>
        <v>12022.98</v>
      </c>
      <c r="H236" s="86">
        <f t="shared" ref="H236:H244" si="20">(G236/E236)*100</f>
        <v>91.701681874033724</v>
      </c>
      <c r="I236" s="86">
        <f t="shared" ref="I236:I244" si="21">(G236/F236)*100</f>
        <v>94.669133858267713</v>
      </c>
    </row>
    <row r="237" spans="1:9" x14ac:dyDescent="0.25">
      <c r="A237" s="106"/>
      <c r="B237" s="106"/>
      <c r="C237" s="107">
        <v>11</v>
      </c>
      <c r="D237" s="107" t="s">
        <v>18</v>
      </c>
      <c r="E237" s="105">
        <v>639.57000000000005</v>
      </c>
      <c r="F237" s="108"/>
      <c r="G237" s="108">
        <v>592.42999999999995</v>
      </c>
      <c r="H237" s="86"/>
      <c r="I237" s="86"/>
    </row>
    <row r="238" spans="1:9" x14ac:dyDescent="0.25">
      <c r="A238" s="106"/>
      <c r="B238" s="106"/>
      <c r="C238" s="107">
        <v>31</v>
      </c>
      <c r="D238" s="107" t="s">
        <v>44</v>
      </c>
      <c r="E238" s="105"/>
      <c r="F238" s="108"/>
      <c r="G238" s="108"/>
      <c r="H238" s="86"/>
      <c r="I238" s="86"/>
    </row>
    <row r="239" spans="1:9" ht="25.5" x14ac:dyDescent="0.25">
      <c r="A239" s="106"/>
      <c r="B239" s="106"/>
      <c r="C239" s="107">
        <v>43</v>
      </c>
      <c r="D239" s="113" t="s">
        <v>54</v>
      </c>
      <c r="E239" s="105">
        <v>1720</v>
      </c>
      <c r="F239" s="108">
        <v>1200</v>
      </c>
      <c r="G239" s="108">
        <v>0</v>
      </c>
      <c r="H239" s="86"/>
      <c r="I239" s="86"/>
    </row>
    <row r="240" spans="1:9" x14ac:dyDescent="0.25">
      <c r="A240" s="106"/>
      <c r="B240" s="106"/>
      <c r="C240" s="107">
        <v>44</v>
      </c>
      <c r="D240" s="107" t="s">
        <v>62</v>
      </c>
      <c r="E240" s="105"/>
      <c r="F240" s="105"/>
      <c r="G240" s="105"/>
      <c r="H240" s="86"/>
      <c r="I240" s="86"/>
    </row>
    <row r="241" spans="1:9" x14ac:dyDescent="0.25">
      <c r="A241" s="106"/>
      <c r="B241" s="106"/>
      <c r="C241" s="107">
        <v>51</v>
      </c>
      <c r="D241" s="107" t="s">
        <v>57</v>
      </c>
      <c r="E241" s="105"/>
      <c r="F241" s="108"/>
      <c r="G241" s="108"/>
      <c r="H241" s="86"/>
      <c r="I241" s="86"/>
    </row>
    <row r="242" spans="1:9" x14ac:dyDescent="0.25">
      <c r="A242" s="106"/>
      <c r="B242" s="106"/>
      <c r="C242" s="107">
        <v>52</v>
      </c>
      <c r="D242" s="107" t="s">
        <v>53</v>
      </c>
      <c r="E242" s="105">
        <v>10751.4</v>
      </c>
      <c r="F242" s="108">
        <v>11500</v>
      </c>
      <c r="G242" s="108">
        <v>11430.55</v>
      </c>
      <c r="H242" s="86"/>
      <c r="I242" s="86"/>
    </row>
    <row r="243" spans="1:9" x14ac:dyDescent="0.25">
      <c r="A243" s="106"/>
      <c r="B243" s="106"/>
      <c r="C243" s="107">
        <v>61</v>
      </c>
      <c r="D243" s="107" t="s">
        <v>58</v>
      </c>
      <c r="E243" s="105"/>
      <c r="F243" s="108"/>
      <c r="G243" s="108"/>
      <c r="H243" s="86"/>
      <c r="I243" s="86"/>
    </row>
    <row r="244" spans="1:9" x14ac:dyDescent="0.25">
      <c r="A244" s="109"/>
      <c r="B244" s="109">
        <v>3294</v>
      </c>
      <c r="C244" s="110"/>
      <c r="D244" s="111" t="s">
        <v>96</v>
      </c>
      <c r="E244" s="86">
        <f>SUM(E245:E251)</f>
        <v>217.9</v>
      </c>
      <c r="F244" s="86">
        <f>SUM(F245:F251)</f>
        <v>250</v>
      </c>
      <c r="G244" s="86">
        <f>SUM(G245:G251)</f>
        <v>213.09</v>
      </c>
      <c r="H244" s="86">
        <f t="shared" si="20"/>
        <v>97.792565396971085</v>
      </c>
      <c r="I244" s="86">
        <f t="shared" si="21"/>
        <v>85.236000000000004</v>
      </c>
    </row>
    <row r="245" spans="1:9" x14ac:dyDescent="0.25">
      <c r="A245" s="106"/>
      <c r="B245" s="106"/>
      <c r="C245" s="107">
        <v>11</v>
      </c>
      <c r="D245" s="107" t="s">
        <v>18</v>
      </c>
      <c r="E245" s="105">
        <v>217.9</v>
      </c>
      <c r="F245" s="108">
        <v>250</v>
      </c>
      <c r="G245" s="108">
        <v>213.09</v>
      </c>
      <c r="H245" s="86"/>
      <c r="I245" s="86"/>
    </row>
    <row r="246" spans="1:9" x14ac:dyDescent="0.25">
      <c r="A246" s="106"/>
      <c r="B246" s="106"/>
      <c r="C246" s="107">
        <v>31</v>
      </c>
      <c r="D246" s="107" t="s">
        <v>44</v>
      </c>
      <c r="E246" s="105"/>
      <c r="F246" s="108"/>
      <c r="G246" s="108"/>
      <c r="H246" s="86"/>
      <c r="I246" s="86"/>
    </row>
    <row r="247" spans="1:9" ht="25.5" x14ac:dyDescent="0.25">
      <c r="A247" s="106"/>
      <c r="B247" s="106"/>
      <c r="C247" s="107">
        <v>43</v>
      </c>
      <c r="D247" s="113" t="s">
        <v>54</v>
      </c>
      <c r="E247" s="105"/>
      <c r="F247" s="108"/>
      <c r="G247" s="108"/>
      <c r="H247" s="86"/>
      <c r="I247" s="86"/>
    </row>
    <row r="248" spans="1:9" x14ac:dyDescent="0.25">
      <c r="A248" s="106"/>
      <c r="B248" s="106"/>
      <c r="C248" s="107">
        <v>44</v>
      </c>
      <c r="D248" s="107" t="s">
        <v>62</v>
      </c>
      <c r="E248" s="105"/>
      <c r="F248" s="105"/>
      <c r="G248" s="105"/>
      <c r="H248" s="86"/>
      <c r="I248" s="86"/>
    </row>
    <row r="249" spans="1:9" x14ac:dyDescent="0.25">
      <c r="A249" s="106"/>
      <c r="B249" s="106"/>
      <c r="C249" s="107">
        <v>51</v>
      </c>
      <c r="D249" s="107" t="s">
        <v>57</v>
      </c>
      <c r="E249" s="105"/>
      <c r="F249" s="108"/>
      <c r="G249" s="108"/>
      <c r="H249" s="86"/>
      <c r="I249" s="86"/>
    </row>
    <row r="250" spans="1:9" x14ac:dyDescent="0.25">
      <c r="A250" s="106"/>
      <c r="B250" s="106"/>
      <c r="C250" s="107">
        <v>52</v>
      </c>
      <c r="D250" s="107" t="s">
        <v>53</v>
      </c>
      <c r="E250" s="105"/>
      <c r="F250" s="108"/>
      <c r="G250" s="108"/>
      <c r="H250" s="86"/>
      <c r="I250" s="86"/>
    </row>
    <row r="251" spans="1:9" x14ac:dyDescent="0.25">
      <c r="A251" s="106"/>
      <c r="B251" s="106"/>
      <c r="C251" s="107">
        <v>61</v>
      </c>
      <c r="D251" s="107" t="s">
        <v>58</v>
      </c>
      <c r="E251" s="105"/>
      <c r="F251" s="108"/>
      <c r="G251" s="108"/>
      <c r="H251" s="86"/>
      <c r="I251" s="86"/>
    </row>
    <row r="252" spans="1:9" x14ac:dyDescent="0.25">
      <c r="A252" s="109"/>
      <c r="B252" s="109">
        <v>3295</v>
      </c>
      <c r="C252" s="110"/>
      <c r="D252" s="111" t="s">
        <v>97</v>
      </c>
      <c r="E252" s="86">
        <f>SUM(E253:E259)</f>
        <v>3328.86</v>
      </c>
      <c r="F252" s="86">
        <f>SUM(F253:F259)</f>
        <v>3360</v>
      </c>
      <c r="G252" s="86">
        <f>SUM(G253:G259)</f>
        <v>5488</v>
      </c>
      <c r="H252" s="86">
        <f t="shared" ref="H252:H258" si="22">(G252/E252)*100</f>
        <v>164.86124378916506</v>
      </c>
      <c r="I252" s="86">
        <f t="shared" ref="I252:I258" si="23">(G252/F252)*100</f>
        <v>163.33333333333334</v>
      </c>
    </row>
    <row r="253" spans="1:9" x14ac:dyDescent="0.25">
      <c r="A253" s="106"/>
      <c r="B253" s="106"/>
      <c r="C253" s="107">
        <v>11</v>
      </c>
      <c r="D253" s="107" t="s">
        <v>18</v>
      </c>
      <c r="E253" s="105"/>
      <c r="F253" s="108"/>
      <c r="G253" s="108"/>
      <c r="H253" s="86"/>
      <c r="I253" s="86"/>
    </row>
    <row r="254" spans="1:9" x14ac:dyDescent="0.25">
      <c r="A254" s="106"/>
      <c r="B254" s="106"/>
      <c r="C254" s="107">
        <v>31</v>
      </c>
      <c r="D254" s="107" t="s">
        <v>44</v>
      </c>
      <c r="E254" s="105"/>
      <c r="F254" s="108"/>
      <c r="G254" s="108"/>
      <c r="H254" s="86"/>
      <c r="I254" s="86"/>
    </row>
    <row r="255" spans="1:9" ht="25.5" x14ac:dyDescent="0.25">
      <c r="A255" s="106"/>
      <c r="B255" s="106"/>
      <c r="C255" s="107">
        <v>43</v>
      </c>
      <c r="D255" s="113" t="s">
        <v>54</v>
      </c>
      <c r="E255" s="105"/>
      <c r="F255" s="108"/>
      <c r="G255" s="108"/>
      <c r="H255" s="86"/>
      <c r="I255" s="86"/>
    </row>
    <row r="256" spans="1:9" x14ac:dyDescent="0.25">
      <c r="A256" s="106"/>
      <c r="B256" s="106"/>
      <c r="C256" s="107">
        <v>44</v>
      </c>
      <c r="D256" s="107" t="s">
        <v>62</v>
      </c>
      <c r="E256" s="105"/>
      <c r="F256" s="108"/>
      <c r="G256" s="108"/>
      <c r="H256" s="86"/>
      <c r="I256" s="86"/>
    </row>
    <row r="257" spans="1:9" x14ac:dyDescent="0.25">
      <c r="A257" s="106"/>
      <c r="B257" s="106"/>
      <c r="C257" s="107">
        <v>51</v>
      </c>
      <c r="D257" s="107" t="s">
        <v>57</v>
      </c>
      <c r="E257" s="105"/>
      <c r="F257" s="108"/>
      <c r="G257" s="108"/>
      <c r="H257" s="86"/>
      <c r="I257" s="86"/>
    </row>
    <row r="258" spans="1:9" x14ac:dyDescent="0.25">
      <c r="A258" s="106"/>
      <c r="B258" s="106"/>
      <c r="C258" s="107">
        <v>52</v>
      </c>
      <c r="D258" s="107" t="s">
        <v>53</v>
      </c>
      <c r="E258" s="105">
        <v>3328.86</v>
      </c>
      <c r="F258" s="105">
        <v>3360</v>
      </c>
      <c r="G258" s="105">
        <v>5488</v>
      </c>
      <c r="H258" s="86">
        <f t="shared" si="22"/>
        <v>164.86124378916506</v>
      </c>
      <c r="I258" s="86">
        <f t="shared" si="23"/>
        <v>163.33333333333334</v>
      </c>
    </row>
    <row r="259" spans="1:9" x14ac:dyDescent="0.25">
      <c r="A259" s="106"/>
      <c r="B259" s="106"/>
      <c r="C259" s="107">
        <v>61</v>
      </c>
      <c r="D259" s="107" t="s">
        <v>58</v>
      </c>
      <c r="E259" s="105"/>
      <c r="F259" s="108"/>
      <c r="G259" s="108"/>
      <c r="H259" s="86"/>
      <c r="I259" s="86"/>
    </row>
    <row r="260" spans="1:9" ht="25.5" x14ac:dyDescent="0.25">
      <c r="A260" s="109"/>
      <c r="B260" s="109">
        <v>3296</v>
      </c>
      <c r="C260" s="110"/>
      <c r="D260" s="111" t="s">
        <v>117</v>
      </c>
      <c r="E260" s="86">
        <f>SUM(E261:E267)</f>
        <v>0</v>
      </c>
      <c r="F260" s="86">
        <f>SUM(F261:F267)</f>
        <v>0</v>
      </c>
      <c r="G260" s="86">
        <f>SUM(G261:G267)</f>
        <v>0</v>
      </c>
      <c r="H260" s="86"/>
      <c r="I260" s="86"/>
    </row>
    <row r="261" spans="1:9" x14ac:dyDescent="0.25">
      <c r="A261" s="106"/>
      <c r="B261" s="106"/>
      <c r="C261" s="107">
        <v>11</v>
      </c>
      <c r="D261" s="107" t="s">
        <v>18</v>
      </c>
      <c r="E261" s="105"/>
      <c r="F261" s="108"/>
      <c r="G261" s="108"/>
      <c r="H261" s="86"/>
      <c r="I261" s="86"/>
    </row>
    <row r="262" spans="1:9" x14ac:dyDescent="0.25">
      <c r="A262" s="106"/>
      <c r="B262" s="106"/>
      <c r="C262" s="107">
        <v>31</v>
      </c>
      <c r="D262" s="107" t="s">
        <v>44</v>
      </c>
      <c r="E262" s="105"/>
      <c r="F262" s="108"/>
      <c r="G262" s="108"/>
      <c r="H262" s="86"/>
      <c r="I262" s="86"/>
    </row>
    <row r="263" spans="1:9" ht="25.5" x14ac:dyDescent="0.25">
      <c r="A263" s="106"/>
      <c r="B263" s="106"/>
      <c r="C263" s="107">
        <v>43</v>
      </c>
      <c r="D263" s="113" t="s">
        <v>54</v>
      </c>
      <c r="E263" s="105"/>
      <c r="F263" s="108"/>
      <c r="G263" s="108"/>
      <c r="H263" s="86"/>
      <c r="I263" s="86"/>
    </row>
    <row r="264" spans="1:9" x14ac:dyDescent="0.25">
      <c r="A264" s="106"/>
      <c r="B264" s="106"/>
      <c r="C264" s="107">
        <v>44</v>
      </c>
      <c r="D264" s="107" t="s">
        <v>62</v>
      </c>
      <c r="E264" s="105"/>
      <c r="F264" s="108"/>
      <c r="G264" s="108"/>
      <c r="H264" s="86"/>
      <c r="I264" s="86"/>
    </row>
    <row r="265" spans="1:9" x14ac:dyDescent="0.25">
      <c r="A265" s="106"/>
      <c r="B265" s="106"/>
      <c r="C265" s="107">
        <v>51</v>
      </c>
      <c r="D265" s="107" t="s">
        <v>57</v>
      </c>
      <c r="E265" s="105"/>
      <c r="F265" s="108"/>
      <c r="G265" s="108"/>
      <c r="H265" s="86"/>
      <c r="I265" s="86"/>
    </row>
    <row r="266" spans="1:9" x14ac:dyDescent="0.25">
      <c r="A266" s="106"/>
      <c r="B266" s="106"/>
      <c r="C266" s="107">
        <v>52</v>
      </c>
      <c r="D266" s="107" t="s">
        <v>53</v>
      </c>
      <c r="E266" s="105"/>
      <c r="F266" s="105"/>
      <c r="G266" s="105"/>
      <c r="H266" s="86"/>
      <c r="I266" s="86"/>
    </row>
    <row r="267" spans="1:9" x14ac:dyDescent="0.25">
      <c r="A267" s="106"/>
      <c r="B267" s="106"/>
      <c r="C267" s="107">
        <v>61</v>
      </c>
      <c r="D267" s="107" t="s">
        <v>58</v>
      </c>
      <c r="E267" s="105"/>
      <c r="F267" s="108"/>
      <c r="G267" s="108"/>
      <c r="H267" s="86"/>
      <c r="I267" s="86"/>
    </row>
    <row r="268" spans="1:9" ht="25.5" x14ac:dyDescent="0.25">
      <c r="A268" s="109"/>
      <c r="B268" s="109">
        <v>3299</v>
      </c>
      <c r="C268" s="110"/>
      <c r="D268" s="111" t="s">
        <v>98</v>
      </c>
      <c r="E268" s="86">
        <f>SUM(E269:E275)</f>
        <v>4316.53</v>
      </c>
      <c r="F268" s="86">
        <f>SUM(F269:F275)</f>
        <v>4320</v>
      </c>
      <c r="G268" s="86">
        <f>SUM(G269:G275)</f>
        <v>3528.04</v>
      </c>
      <c r="H268" s="86">
        <f t="shared" ref="H268:H276" si="24">(G268/E268)*100</f>
        <v>81.733244064097789</v>
      </c>
      <c r="I268" s="86">
        <f t="shared" ref="I268" si="25">(G268/F268)*100</f>
        <v>81.667592592592598</v>
      </c>
    </row>
    <row r="269" spans="1:9" x14ac:dyDescent="0.25">
      <c r="A269" s="106"/>
      <c r="B269" s="106"/>
      <c r="C269" s="107">
        <v>11</v>
      </c>
      <c r="D269" s="107" t="s">
        <v>18</v>
      </c>
      <c r="E269" s="105">
        <f>562.87+2327.79</f>
        <v>2890.66</v>
      </c>
      <c r="F269" s="108">
        <f>500+1070</f>
        <v>1570</v>
      </c>
      <c r="G269" s="108">
        <f>798.75</f>
        <v>798.75</v>
      </c>
      <c r="H269" s="86"/>
      <c r="I269" s="86"/>
    </row>
    <row r="270" spans="1:9" x14ac:dyDescent="0.25">
      <c r="A270" s="106"/>
      <c r="B270" s="106"/>
      <c r="C270" s="107">
        <v>31</v>
      </c>
      <c r="D270" s="107" t="s">
        <v>44</v>
      </c>
      <c r="E270" s="105"/>
      <c r="F270" s="108"/>
      <c r="G270" s="108"/>
      <c r="H270" s="86"/>
      <c r="I270" s="86"/>
    </row>
    <row r="271" spans="1:9" ht="25.5" x14ac:dyDescent="0.25">
      <c r="A271" s="106"/>
      <c r="B271" s="106"/>
      <c r="C271" s="107">
        <v>43</v>
      </c>
      <c r="D271" s="113" t="s">
        <v>54</v>
      </c>
      <c r="E271" s="105"/>
      <c r="F271" s="105"/>
      <c r="G271" s="105"/>
      <c r="H271" s="86"/>
      <c r="I271" s="86"/>
    </row>
    <row r="272" spans="1:9" x14ac:dyDescent="0.25">
      <c r="A272" s="106"/>
      <c r="B272" s="106"/>
      <c r="C272" s="107">
        <v>44</v>
      </c>
      <c r="D272" s="107" t="s">
        <v>62</v>
      </c>
      <c r="E272" s="105"/>
      <c r="F272" s="105"/>
      <c r="G272" s="105"/>
      <c r="H272" s="86"/>
      <c r="I272" s="86"/>
    </row>
    <row r="273" spans="1:9" x14ac:dyDescent="0.25">
      <c r="A273" s="106"/>
      <c r="B273" s="106"/>
      <c r="C273" s="107">
        <v>51</v>
      </c>
      <c r="D273" s="107" t="s">
        <v>57</v>
      </c>
      <c r="E273" s="105"/>
      <c r="F273" s="105"/>
      <c r="G273" s="105"/>
      <c r="H273" s="86"/>
      <c r="I273" s="86"/>
    </row>
    <row r="274" spans="1:9" x14ac:dyDescent="0.25">
      <c r="A274" s="106"/>
      <c r="B274" s="106"/>
      <c r="C274" s="107">
        <v>52</v>
      </c>
      <c r="D274" s="107" t="s">
        <v>53</v>
      </c>
      <c r="E274" s="105">
        <f>1338.42+87.45</f>
        <v>1425.8700000000001</v>
      </c>
      <c r="F274" s="105">
        <v>2750</v>
      </c>
      <c r="G274" s="105">
        <v>2729.29</v>
      </c>
      <c r="H274" s="86">
        <f t="shared" si="24"/>
        <v>191.41226058476576</v>
      </c>
      <c r="I274" s="86"/>
    </row>
    <row r="275" spans="1:9" x14ac:dyDescent="0.25">
      <c r="A275" s="106"/>
      <c r="B275" s="106"/>
      <c r="C275" s="107">
        <v>61</v>
      </c>
      <c r="D275" s="107" t="s">
        <v>58</v>
      </c>
      <c r="E275" s="105"/>
      <c r="F275" s="108"/>
      <c r="G275" s="108"/>
      <c r="H275" s="86"/>
      <c r="I275" s="86"/>
    </row>
    <row r="276" spans="1:9" x14ac:dyDescent="0.25">
      <c r="A276" s="109"/>
      <c r="B276" s="109">
        <v>3431</v>
      </c>
      <c r="C276" s="110"/>
      <c r="D276" s="109" t="s">
        <v>99</v>
      </c>
      <c r="E276" s="86">
        <f>SUM(E277:E279)</f>
        <v>500</v>
      </c>
      <c r="F276" s="86">
        <f>SUM(F277:F279)</f>
        <v>500</v>
      </c>
      <c r="G276" s="86">
        <f>SUM(G277:G279)</f>
        <v>410.28</v>
      </c>
      <c r="H276" s="86">
        <f t="shared" si="24"/>
        <v>82.055999999999997</v>
      </c>
      <c r="I276" s="86">
        <f t="shared" ref="I276:I287" si="26">(G276/F276)*100</f>
        <v>82.055999999999997</v>
      </c>
    </row>
    <row r="277" spans="1:9" x14ac:dyDescent="0.25">
      <c r="A277" s="106"/>
      <c r="B277" s="106"/>
      <c r="C277" s="107">
        <v>11</v>
      </c>
      <c r="D277" s="107" t="s">
        <v>18</v>
      </c>
      <c r="E277" s="105">
        <v>500</v>
      </c>
      <c r="F277" s="108"/>
      <c r="G277" s="108"/>
      <c r="H277" s="86"/>
      <c r="I277" s="86"/>
    </row>
    <row r="278" spans="1:9" x14ac:dyDescent="0.25">
      <c r="A278" s="106"/>
      <c r="B278" s="106"/>
      <c r="C278" s="107">
        <v>44</v>
      </c>
      <c r="D278" s="107" t="s">
        <v>62</v>
      </c>
      <c r="E278" s="105"/>
      <c r="F278" s="105">
        <v>500</v>
      </c>
      <c r="G278" s="105">
        <v>410.28</v>
      </c>
      <c r="H278" s="86"/>
      <c r="I278" s="86">
        <f t="shared" si="26"/>
        <v>82.055999999999997</v>
      </c>
    </row>
    <row r="279" spans="1:9" x14ac:dyDescent="0.25">
      <c r="A279" s="106"/>
      <c r="B279" s="106"/>
      <c r="C279" s="107">
        <v>52</v>
      </c>
      <c r="D279" s="107" t="s">
        <v>53</v>
      </c>
      <c r="E279" s="105"/>
      <c r="F279" s="108"/>
      <c r="G279" s="108"/>
      <c r="H279" s="86"/>
      <c r="I279" s="86"/>
    </row>
    <row r="280" spans="1:9" x14ac:dyDescent="0.25">
      <c r="A280" s="109"/>
      <c r="B280" s="109">
        <v>3433</v>
      </c>
      <c r="C280" s="110"/>
      <c r="D280" s="109" t="s">
        <v>118</v>
      </c>
      <c r="E280" s="86">
        <f>SUM(E281:E283)</f>
        <v>0</v>
      </c>
      <c r="F280" s="86">
        <f>SUM(F281:F283)</f>
        <v>0</v>
      </c>
      <c r="G280" s="86">
        <f>SUM(G281:G283)</f>
        <v>0</v>
      </c>
      <c r="H280" s="86"/>
      <c r="I280" s="86"/>
    </row>
    <row r="281" spans="1:9" x14ac:dyDescent="0.25">
      <c r="A281" s="106"/>
      <c r="B281" s="106"/>
      <c r="C281" s="107">
        <v>11</v>
      </c>
      <c r="D281" s="107" t="s">
        <v>18</v>
      </c>
      <c r="E281" s="105"/>
      <c r="F281" s="108"/>
      <c r="G281" s="108"/>
      <c r="H281" s="86"/>
      <c r="I281" s="86"/>
    </row>
    <row r="282" spans="1:9" x14ac:dyDescent="0.25">
      <c r="A282" s="106"/>
      <c r="B282" s="106"/>
      <c r="C282" s="107">
        <v>44</v>
      </c>
      <c r="D282" s="107" t="s">
        <v>62</v>
      </c>
      <c r="E282" s="105"/>
      <c r="F282" s="108"/>
      <c r="G282" s="108"/>
      <c r="H282" s="86"/>
      <c r="I282" s="86"/>
    </row>
    <row r="283" spans="1:9" x14ac:dyDescent="0.25">
      <c r="A283" s="106"/>
      <c r="B283" s="106"/>
      <c r="C283" s="107">
        <v>52</v>
      </c>
      <c r="D283" s="107" t="s">
        <v>53</v>
      </c>
      <c r="E283" s="105"/>
      <c r="F283" s="105"/>
      <c r="G283" s="105"/>
      <c r="H283" s="86"/>
      <c r="I283" s="86"/>
    </row>
    <row r="284" spans="1:9" ht="25.5" x14ac:dyDescent="0.25">
      <c r="A284" s="109"/>
      <c r="B284" s="109">
        <v>3722</v>
      </c>
      <c r="C284" s="110"/>
      <c r="D284" s="111" t="s">
        <v>63</v>
      </c>
      <c r="E284" s="86">
        <f>SUM(E285:E286)</f>
        <v>55075.66</v>
      </c>
      <c r="F284" s="86">
        <f>SUM(F285:F286)</f>
        <v>29000</v>
      </c>
      <c r="G284" s="86">
        <f>SUM(G285:G286)</f>
        <v>54657.229999999996</v>
      </c>
      <c r="H284" s="86">
        <f>(G284/E284)*100</f>
        <v>99.240263303245015</v>
      </c>
      <c r="I284" s="86">
        <f t="shared" si="26"/>
        <v>188.47320689655172</v>
      </c>
    </row>
    <row r="285" spans="1:9" x14ac:dyDescent="0.25">
      <c r="A285" s="106"/>
      <c r="B285" s="106"/>
      <c r="C285" s="107">
        <v>52</v>
      </c>
      <c r="D285" s="107" t="s">
        <v>53</v>
      </c>
      <c r="E285" s="105">
        <f>7836.27+25722.66</f>
        <v>33558.93</v>
      </c>
      <c r="F285" s="105">
        <v>4000</v>
      </c>
      <c r="G285" s="105">
        <v>32321.360000000001</v>
      </c>
      <c r="H285" s="86">
        <f t="shared" ref="H285:H287" si="27">(G285/E285)*100</f>
        <v>96.312248334496957</v>
      </c>
      <c r="I285" s="86">
        <f t="shared" si="26"/>
        <v>808.03399999999999</v>
      </c>
    </row>
    <row r="286" spans="1:9" x14ac:dyDescent="0.25">
      <c r="A286" s="106"/>
      <c r="B286" s="109" t="s">
        <v>52</v>
      </c>
      <c r="C286" s="107">
        <v>11</v>
      </c>
      <c r="D286" s="107" t="s">
        <v>18</v>
      </c>
      <c r="E286" s="105">
        <v>21516.73</v>
      </c>
      <c r="F286" s="108">
        <v>25000</v>
      </c>
      <c r="G286" s="108">
        <v>22335.87</v>
      </c>
      <c r="H286" s="86"/>
      <c r="I286" s="86"/>
    </row>
    <row r="287" spans="1:9" ht="25.5" x14ac:dyDescent="0.25">
      <c r="A287" s="114">
        <v>4</v>
      </c>
      <c r="B287" s="115"/>
      <c r="C287" s="115"/>
      <c r="D287" s="116" t="s">
        <v>24</v>
      </c>
      <c r="E287" s="86">
        <f>E290+E305+E288+E295+E300</f>
        <v>6776.1</v>
      </c>
      <c r="F287" s="86">
        <f>F290+F305+F288+F295+F300</f>
        <v>32000</v>
      </c>
      <c r="G287" s="86">
        <f t="shared" ref="G287" si="28">G290+G305+G288+G295+G300</f>
        <v>4317.91</v>
      </c>
      <c r="H287" s="86">
        <f t="shared" si="27"/>
        <v>63.722642818140216</v>
      </c>
      <c r="I287" s="86">
        <f t="shared" si="26"/>
        <v>13.493468749999998</v>
      </c>
    </row>
    <row r="288" spans="1:9" x14ac:dyDescent="0.25">
      <c r="A288" s="114"/>
      <c r="B288" s="115">
        <v>4123</v>
      </c>
      <c r="C288" s="115"/>
      <c r="D288" s="116" t="s">
        <v>112</v>
      </c>
      <c r="E288" s="112">
        <f>E289</f>
        <v>0</v>
      </c>
      <c r="F288" s="112">
        <f t="shared" ref="F288:G288" si="29">F289</f>
        <v>0</v>
      </c>
      <c r="G288" s="112">
        <f t="shared" si="29"/>
        <v>0</v>
      </c>
      <c r="H288" s="86"/>
      <c r="I288" s="86"/>
    </row>
    <row r="289" spans="1:9" x14ac:dyDescent="0.25">
      <c r="A289" s="114"/>
      <c r="B289" s="115"/>
      <c r="C289" s="118">
        <v>44</v>
      </c>
      <c r="D289" s="119" t="s">
        <v>62</v>
      </c>
      <c r="E289" s="105"/>
      <c r="F289" s="105"/>
      <c r="G289" s="105"/>
      <c r="H289" s="86"/>
      <c r="I289" s="86"/>
    </row>
    <row r="290" spans="1:9" ht="25.5" x14ac:dyDescent="0.25">
      <c r="A290" s="104"/>
      <c r="B290" s="103">
        <v>4221</v>
      </c>
      <c r="C290" s="104"/>
      <c r="D290" s="116" t="s">
        <v>100</v>
      </c>
      <c r="E290" s="112">
        <f>E291+E292+E294+E293</f>
        <v>0</v>
      </c>
      <c r="F290" s="112">
        <f t="shared" ref="F290:G290" si="30">F291+F292+F294+F293</f>
        <v>0</v>
      </c>
      <c r="G290" s="112">
        <f t="shared" si="30"/>
        <v>0</v>
      </c>
      <c r="H290" s="86"/>
      <c r="I290" s="86"/>
    </row>
    <row r="291" spans="1:9" x14ac:dyDescent="0.25">
      <c r="A291" s="104"/>
      <c r="B291" s="104"/>
      <c r="C291" s="107">
        <v>44</v>
      </c>
      <c r="D291" s="107" t="s">
        <v>62</v>
      </c>
      <c r="E291" s="105"/>
      <c r="F291" s="105"/>
      <c r="G291" s="105"/>
      <c r="H291" s="86"/>
      <c r="I291" s="86"/>
    </row>
    <row r="292" spans="1:9" x14ac:dyDescent="0.25">
      <c r="A292" s="104"/>
      <c r="B292" s="104"/>
      <c r="C292" s="107">
        <v>31</v>
      </c>
      <c r="D292" s="107" t="s">
        <v>44</v>
      </c>
      <c r="E292" s="105"/>
      <c r="F292" s="105"/>
      <c r="G292" s="105"/>
      <c r="H292" s="86"/>
      <c r="I292" s="86"/>
    </row>
    <row r="293" spans="1:9" x14ac:dyDescent="0.25">
      <c r="A293" s="104"/>
      <c r="B293" s="104"/>
      <c r="C293" s="107">
        <v>52</v>
      </c>
      <c r="D293" s="107" t="s">
        <v>53</v>
      </c>
      <c r="E293" s="105"/>
      <c r="F293" s="108"/>
      <c r="G293" s="108"/>
      <c r="H293" s="86"/>
      <c r="I293" s="86"/>
    </row>
    <row r="294" spans="1:9" x14ac:dyDescent="0.25">
      <c r="A294" s="104"/>
      <c r="B294" s="104"/>
      <c r="C294" s="107">
        <v>61</v>
      </c>
      <c r="D294" s="107" t="s">
        <v>58</v>
      </c>
      <c r="E294" s="105"/>
      <c r="F294" s="108"/>
      <c r="G294" s="108"/>
      <c r="H294" s="86"/>
      <c r="I294" s="86"/>
    </row>
    <row r="295" spans="1:9" ht="25.5" x14ac:dyDescent="0.25">
      <c r="A295" s="104"/>
      <c r="B295" s="103">
        <v>4226</v>
      </c>
      <c r="C295" s="104"/>
      <c r="D295" s="116" t="s">
        <v>113</v>
      </c>
      <c r="E295" s="112">
        <f>E296+E297+E299+E298</f>
        <v>0</v>
      </c>
      <c r="F295" s="112">
        <f t="shared" ref="F295:G295" si="31">F296+F297+F299+F298</f>
        <v>0</v>
      </c>
      <c r="G295" s="112">
        <f t="shared" si="31"/>
        <v>0</v>
      </c>
      <c r="H295" s="86"/>
      <c r="I295" s="86"/>
    </row>
    <row r="296" spans="1:9" x14ac:dyDescent="0.25">
      <c r="A296" s="104"/>
      <c r="B296" s="104"/>
      <c r="C296" s="107">
        <v>44</v>
      </c>
      <c r="D296" s="107" t="s">
        <v>62</v>
      </c>
      <c r="E296" s="105"/>
      <c r="F296" s="108"/>
      <c r="G296" s="108"/>
      <c r="H296" s="86"/>
      <c r="I296" s="86"/>
    </row>
    <row r="297" spans="1:9" x14ac:dyDescent="0.25">
      <c r="A297" s="104"/>
      <c r="B297" s="104"/>
      <c r="C297" s="107">
        <v>31</v>
      </c>
      <c r="D297" s="107" t="s">
        <v>44</v>
      </c>
      <c r="E297" s="105"/>
      <c r="F297" s="108"/>
      <c r="G297" s="108"/>
      <c r="H297" s="86"/>
      <c r="I297" s="86"/>
    </row>
    <row r="298" spans="1:9" x14ac:dyDescent="0.25">
      <c r="A298" s="104"/>
      <c r="B298" s="104"/>
      <c r="C298" s="107">
        <v>52</v>
      </c>
      <c r="D298" s="107" t="s">
        <v>53</v>
      </c>
      <c r="E298" s="105"/>
      <c r="F298" s="108"/>
      <c r="G298" s="108"/>
      <c r="H298" s="86"/>
      <c r="I298" s="86"/>
    </row>
    <row r="299" spans="1:9" x14ac:dyDescent="0.25">
      <c r="A299" s="104"/>
      <c r="B299" s="104"/>
      <c r="C299" s="107">
        <v>61</v>
      </c>
      <c r="D299" s="107" t="s">
        <v>58</v>
      </c>
      <c r="E299" s="105"/>
      <c r="F299" s="108"/>
      <c r="G299" s="108"/>
      <c r="H299" s="86"/>
      <c r="I299" s="86"/>
    </row>
    <row r="300" spans="1:9" ht="25.5" x14ac:dyDescent="0.25">
      <c r="A300" s="104"/>
      <c r="B300" s="103">
        <v>4227</v>
      </c>
      <c r="C300" s="104"/>
      <c r="D300" s="116" t="s">
        <v>114</v>
      </c>
      <c r="E300" s="112">
        <f>E301+E302+E304+E303</f>
        <v>0</v>
      </c>
      <c r="F300" s="112">
        <f t="shared" ref="F300:G300" si="32">F301+F302+F304+F303</f>
        <v>0</v>
      </c>
      <c r="G300" s="112">
        <f t="shared" si="32"/>
        <v>0</v>
      </c>
      <c r="H300" s="86"/>
      <c r="I300" s="86"/>
    </row>
    <row r="301" spans="1:9" x14ac:dyDescent="0.25">
      <c r="A301" s="104"/>
      <c r="B301" s="104"/>
      <c r="C301" s="107">
        <v>44</v>
      </c>
      <c r="D301" s="107" t="s">
        <v>62</v>
      </c>
      <c r="E301" s="105"/>
      <c r="F301" s="108"/>
      <c r="G301" s="108"/>
      <c r="H301" s="86"/>
      <c r="I301" s="86"/>
    </row>
    <row r="302" spans="1:9" x14ac:dyDescent="0.25">
      <c r="A302" s="104"/>
      <c r="B302" s="104"/>
      <c r="C302" s="107">
        <v>31</v>
      </c>
      <c r="D302" s="107" t="s">
        <v>44</v>
      </c>
      <c r="E302" s="105"/>
      <c r="F302" s="108"/>
      <c r="G302" s="108"/>
      <c r="H302" s="86"/>
      <c r="I302" s="86"/>
    </row>
    <row r="303" spans="1:9" x14ac:dyDescent="0.25">
      <c r="A303" s="104"/>
      <c r="B303" s="104"/>
      <c r="C303" s="107">
        <v>52</v>
      </c>
      <c r="D303" s="107" t="s">
        <v>53</v>
      </c>
      <c r="E303" s="105"/>
      <c r="F303" s="108"/>
      <c r="G303" s="108"/>
      <c r="H303" s="86"/>
      <c r="I303" s="86"/>
    </row>
    <row r="304" spans="1:9" x14ac:dyDescent="0.25">
      <c r="A304" s="104"/>
      <c r="B304" s="104"/>
      <c r="C304" s="107">
        <v>61</v>
      </c>
      <c r="D304" s="107" t="s">
        <v>58</v>
      </c>
      <c r="E304" s="105"/>
      <c r="F304" s="108"/>
      <c r="G304" s="108"/>
      <c r="H304" s="86"/>
      <c r="I304" s="86"/>
    </row>
    <row r="305" spans="1:9" x14ac:dyDescent="0.25">
      <c r="A305" s="120"/>
      <c r="B305" s="121">
        <v>4241</v>
      </c>
      <c r="C305" s="120"/>
      <c r="D305" s="122" t="s">
        <v>101</v>
      </c>
      <c r="E305" s="123">
        <f>SUM(E306:E309)</f>
        <v>6776.1</v>
      </c>
      <c r="F305" s="123">
        <f>SUM(F306:F309)</f>
        <v>32000</v>
      </c>
      <c r="G305" s="123">
        <f>SUM(G306:G309)</f>
        <v>4317.91</v>
      </c>
      <c r="H305" s="86">
        <f t="shared" ref="H305:H308" si="33">(G305/E305)*100</f>
        <v>63.722642818140216</v>
      </c>
      <c r="I305" s="86">
        <f t="shared" ref="I305:I308" si="34">(G305/F305)*100</f>
        <v>13.493468749999998</v>
      </c>
    </row>
    <row r="306" spans="1:9" x14ac:dyDescent="0.25">
      <c r="A306" s="120"/>
      <c r="B306" s="124"/>
      <c r="C306" s="125">
        <v>31</v>
      </c>
      <c r="D306" s="126" t="s">
        <v>44</v>
      </c>
      <c r="E306" s="127"/>
      <c r="F306" s="127"/>
      <c r="G306" s="127"/>
      <c r="H306" s="86"/>
      <c r="I306" s="86"/>
    </row>
    <row r="307" spans="1:9" x14ac:dyDescent="0.25">
      <c r="A307" s="128"/>
      <c r="B307" s="128"/>
      <c r="C307" s="129">
        <v>44</v>
      </c>
      <c r="D307" s="130" t="s">
        <v>62</v>
      </c>
      <c r="E307" s="131"/>
      <c r="F307" s="131"/>
      <c r="G307" s="131"/>
      <c r="H307" s="86"/>
      <c r="I307" s="86"/>
    </row>
    <row r="308" spans="1:9" x14ac:dyDescent="0.25">
      <c r="A308" s="128"/>
      <c r="B308" s="128"/>
      <c r="C308" s="129">
        <v>52</v>
      </c>
      <c r="D308" s="130" t="s">
        <v>53</v>
      </c>
      <c r="E308" s="131">
        <v>6776.1</v>
      </c>
      <c r="F308" s="131">
        <v>32000</v>
      </c>
      <c r="G308" s="131">
        <v>4317.91</v>
      </c>
      <c r="H308" s="86">
        <f t="shared" si="33"/>
        <v>63.722642818140216</v>
      </c>
      <c r="I308" s="86">
        <f t="shared" si="34"/>
        <v>13.493468749999998</v>
      </c>
    </row>
    <row r="309" spans="1:9" x14ac:dyDescent="0.25">
      <c r="A309" s="128"/>
      <c r="B309" s="128"/>
      <c r="C309" s="129">
        <v>61</v>
      </c>
      <c r="D309" s="130" t="s">
        <v>58</v>
      </c>
      <c r="E309" s="131"/>
      <c r="F309" s="131"/>
      <c r="G309" s="131"/>
      <c r="H309" s="86"/>
      <c r="I309" s="86"/>
    </row>
    <row r="311" spans="1:9" x14ac:dyDescent="0.25">
      <c r="A311" s="174" t="s">
        <v>128</v>
      </c>
      <c r="B311" s="175"/>
      <c r="C311" s="175"/>
      <c r="D311" s="176"/>
      <c r="E311" s="128"/>
      <c r="F311" s="131">
        <f>SUM(F287,F53)</f>
        <v>2523993</v>
      </c>
      <c r="G311" s="131">
        <f>SUM(G287,G53)</f>
        <v>2558773.96</v>
      </c>
      <c r="H311" s="132"/>
      <c r="I311" s="132"/>
    </row>
    <row r="312" spans="1:9" x14ac:dyDescent="0.25">
      <c r="E312" s="133"/>
    </row>
    <row r="313" spans="1:9" x14ac:dyDescent="0.25">
      <c r="E313" s="133"/>
    </row>
    <row r="314" spans="1:9" x14ac:dyDescent="0.25">
      <c r="E314" s="133"/>
      <c r="G314" s="133"/>
    </row>
    <row r="315" spans="1:9" x14ac:dyDescent="0.25">
      <c r="E315" s="133"/>
      <c r="G315" s="133"/>
    </row>
    <row r="316" spans="1:9" x14ac:dyDescent="0.25">
      <c r="E316" s="133"/>
    </row>
    <row r="317" spans="1:9" x14ac:dyDescent="0.25">
      <c r="E317" s="133"/>
    </row>
    <row r="318" spans="1:9" x14ac:dyDescent="0.25">
      <c r="E318" s="133"/>
    </row>
    <row r="319" spans="1:9" x14ac:dyDescent="0.25">
      <c r="E319" s="133"/>
    </row>
    <row r="320" spans="1:9" x14ac:dyDescent="0.25">
      <c r="E320" s="133"/>
    </row>
  </sheetData>
  <mergeCells count="6">
    <mergeCell ref="A311:D311"/>
    <mergeCell ref="A7:I7"/>
    <mergeCell ref="A50:I50"/>
    <mergeCell ref="A1:I1"/>
    <mergeCell ref="A3:I3"/>
    <mergeCell ref="A5:I5"/>
  </mergeCells>
  <pageMargins left="0.25" right="0.25" top="0.75" bottom="0.75" header="0.3" footer="0.3"/>
  <pageSetup paperSize="9" scale="5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7"/>
  <sheetViews>
    <sheetView workbookViewId="0">
      <selection activeCell="B17" sqref="B17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53" t="s">
        <v>124</v>
      </c>
      <c r="B1" s="153"/>
      <c r="C1" s="153"/>
      <c r="D1" s="153"/>
      <c r="E1" s="153"/>
      <c r="F1" s="153"/>
    </row>
    <row r="2" spans="1:6" ht="18" customHeight="1" x14ac:dyDescent="0.25">
      <c r="A2" s="3"/>
      <c r="B2" s="3"/>
      <c r="C2" s="3"/>
      <c r="D2" s="3"/>
      <c r="E2" s="3"/>
      <c r="F2" s="3"/>
    </row>
    <row r="3" spans="1:6" ht="15.75" x14ac:dyDescent="0.25">
      <c r="A3" s="153" t="s">
        <v>37</v>
      </c>
      <c r="B3" s="153"/>
      <c r="C3" s="153"/>
      <c r="D3" s="153"/>
      <c r="E3" s="154"/>
      <c r="F3" s="154"/>
    </row>
    <row r="4" spans="1:6" ht="18" x14ac:dyDescent="0.25">
      <c r="A4" s="3"/>
      <c r="B4" s="3"/>
      <c r="C4" s="3"/>
      <c r="D4" s="3"/>
      <c r="E4" s="4"/>
      <c r="F4" s="4"/>
    </row>
    <row r="5" spans="1:6" ht="18" customHeight="1" x14ac:dyDescent="0.25">
      <c r="A5" s="153" t="s">
        <v>13</v>
      </c>
      <c r="B5" s="155"/>
      <c r="C5" s="155"/>
      <c r="D5" s="155"/>
      <c r="E5" s="155"/>
      <c r="F5" s="155"/>
    </row>
    <row r="6" spans="1:6" ht="18" x14ac:dyDescent="0.25">
      <c r="A6" s="3"/>
      <c r="B6" s="3"/>
      <c r="C6" s="3"/>
      <c r="D6" s="3"/>
      <c r="E6" s="4"/>
      <c r="F6" s="4"/>
    </row>
    <row r="7" spans="1:6" ht="15.75" x14ac:dyDescent="0.25">
      <c r="A7" s="153" t="s">
        <v>25</v>
      </c>
      <c r="B7" s="179"/>
      <c r="C7" s="179"/>
      <c r="D7" s="179"/>
      <c r="E7" s="179"/>
      <c r="F7" s="179"/>
    </row>
    <row r="8" spans="1:6" ht="18" x14ac:dyDescent="0.25">
      <c r="A8" s="3"/>
      <c r="B8" s="3"/>
      <c r="C8" s="3"/>
      <c r="D8" s="3"/>
      <c r="E8" s="4"/>
      <c r="F8" s="4"/>
    </row>
    <row r="9" spans="1:6" x14ac:dyDescent="0.25">
      <c r="A9" s="95" t="s">
        <v>26</v>
      </c>
      <c r="B9" s="96" t="s">
        <v>108</v>
      </c>
      <c r="C9" s="95" t="s">
        <v>122</v>
      </c>
      <c r="D9" s="95" t="s">
        <v>123</v>
      </c>
      <c r="E9" s="95" t="s">
        <v>109</v>
      </c>
      <c r="F9" s="95" t="s">
        <v>110</v>
      </c>
    </row>
    <row r="10" spans="1:6" ht="15.75" customHeight="1" x14ac:dyDescent="0.25">
      <c r="A10" s="10" t="s">
        <v>27</v>
      </c>
      <c r="B10" s="42">
        <f t="shared" ref="B10:D10" si="0">B16</f>
        <v>1964184.59</v>
      </c>
      <c r="C10" s="42">
        <f t="shared" si="0"/>
        <v>2525468</v>
      </c>
      <c r="D10" s="42">
        <f t="shared" si="0"/>
        <v>2558773.9500000002</v>
      </c>
      <c r="E10" s="42">
        <f>(D10/B10)*100</f>
        <v>130.2715622058719</v>
      </c>
      <c r="F10" s="42">
        <f>(D10/C10)*100</f>
        <v>101.31880308917</v>
      </c>
    </row>
    <row r="11" spans="1:6" ht="15.75" customHeight="1" x14ac:dyDescent="0.25">
      <c r="A11" s="10" t="s">
        <v>28</v>
      </c>
      <c r="B11" s="7"/>
      <c r="C11" s="8"/>
      <c r="D11" s="8"/>
      <c r="E11" s="42"/>
      <c r="F11" s="42"/>
    </row>
    <row r="12" spans="1:6" ht="25.5" x14ac:dyDescent="0.25">
      <c r="A12" s="17" t="s">
        <v>29</v>
      </c>
      <c r="B12" s="7"/>
      <c r="C12" s="8"/>
      <c r="D12" s="8"/>
      <c r="E12" s="42"/>
      <c r="F12" s="42"/>
    </row>
    <row r="13" spans="1:6" x14ac:dyDescent="0.25">
      <c r="A13" s="16" t="s">
        <v>30</v>
      </c>
      <c r="B13" s="7"/>
      <c r="C13" s="8"/>
      <c r="D13" s="8"/>
      <c r="E13" s="42"/>
      <c r="F13" s="42"/>
    </row>
    <row r="14" spans="1:6" x14ac:dyDescent="0.25">
      <c r="A14" s="10" t="s">
        <v>31</v>
      </c>
      <c r="B14" s="7"/>
      <c r="C14" s="8"/>
      <c r="D14" s="8"/>
      <c r="E14" s="42"/>
      <c r="F14" s="42"/>
    </row>
    <row r="15" spans="1:6" ht="25.5" x14ac:dyDescent="0.25">
      <c r="A15" s="18" t="s">
        <v>32</v>
      </c>
      <c r="B15" s="7"/>
      <c r="C15" s="8"/>
      <c r="D15" s="8"/>
      <c r="E15" s="42"/>
      <c r="F15" s="42"/>
    </row>
    <row r="16" spans="1:6" x14ac:dyDescent="0.25">
      <c r="A16" s="10" t="s">
        <v>64</v>
      </c>
      <c r="B16" s="42">
        <f t="shared" ref="B16:D16" si="1">B17</f>
        <v>1964184.59</v>
      </c>
      <c r="C16" s="42">
        <f t="shared" si="1"/>
        <v>2525468</v>
      </c>
      <c r="D16" s="42">
        <f t="shared" si="1"/>
        <v>2558773.9500000002</v>
      </c>
      <c r="E16" s="42">
        <f t="shared" ref="E16:E17" si="2">(D16/B16)*100</f>
        <v>130.2715622058719</v>
      </c>
      <c r="F16" s="42">
        <f t="shared" ref="F16:F17" si="3">(D16/C16)*100</f>
        <v>101.31880308917</v>
      </c>
    </row>
    <row r="17" spans="1:6" x14ac:dyDescent="0.25">
      <c r="A17" s="18" t="s">
        <v>65</v>
      </c>
      <c r="B17" s="7">
        <v>1964184.59</v>
      </c>
      <c r="C17" s="8">
        <v>2525468</v>
      </c>
      <c r="D17" s="8">
        <v>2558773.9500000002</v>
      </c>
      <c r="E17" s="42">
        <f t="shared" si="2"/>
        <v>130.2715622058719</v>
      </c>
      <c r="F17" s="42">
        <f t="shared" si="3"/>
        <v>101.31880308917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4"/>
  <sheetViews>
    <sheetView workbookViewId="0">
      <selection activeCell="A7" sqref="A7:I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153" t="s">
        <v>124</v>
      </c>
      <c r="B1" s="153"/>
      <c r="C1" s="153"/>
      <c r="D1" s="153"/>
      <c r="E1" s="153"/>
      <c r="F1" s="153"/>
      <c r="G1" s="153"/>
      <c r="H1" s="153"/>
      <c r="I1" s="153"/>
    </row>
    <row r="2" spans="1:9" ht="18" customHeight="1" x14ac:dyDescent="0.25">
      <c r="A2" s="3"/>
      <c r="B2" s="3"/>
      <c r="C2" s="3"/>
      <c r="D2" s="3"/>
      <c r="E2" s="3"/>
      <c r="F2" s="3"/>
      <c r="G2" s="3"/>
      <c r="H2" s="3"/>
      <c r="I2" s="3"/>
    </row>
    <row r="3" spans="1:9" ht="15.75" x14ac:dyDescent="0.25">
      <c r="A3" s="153" t="s">
        <v>37</v>
      </c>
      <c r="B3" s="153"/>
      <c r="C3" s="153"/>
      <c r="D3" s="153"/>
      <c r="E3" s="153"/>
      <c r="F3" s="153"/>
      <c r="G3" s="153"/>
      <c r="H3" s="154"/>
      <c r="I3" s="154"/>
    </row>
    <row r="4" spans="1:9" ht="18" x14ac:dyDescent="0.25">
      <c r="A4" s="3"/>
      <c r="B4" s="3"/>
      <c r="C4" s="3"/>
      <c r="D4" s="3"/>
      <c r="E4" s="3"/>
      <c r="F4" s="3"/>
      <c r="G4" s="3"/>
      <c r="H4" s="4"/>
      <c r="I4" s="4"/>
    </row>
    <row r="5" spans="1:9" ht="18" customHeight="1" x14ac:dyDescent="0.25">
      <c r="A5" s="153" t="s">
        <v>33</v>
      </c>
      <c r="B5" s="155"/>
      <c r="C5" s="155"/>
      <c r="D5" s="155"/>
      <c r="E5" s="155"/>
      <c r="F5" s="155"/>
      <c r="G5" s="155"/>
      <c r="H5" s="155"/>
      <c r="I5" s="155"/>
    </row>
    <row r="6" spans="1:9" ht="18" x14ac:dyDescent="0.25">
      <c r="A6" s="3"/>
      <c r="B6" s="3"/>
      <c r="C6" s="3"/>
      <c r="D6" s="3"/>
      <c r="E6" s="3"/>
      <c r="F6" s="3"/>
      <c r="G6" s="3"/>
      <c r="H6" s="4"/>
      <c r="I6" s="4"/>
    </row>
    <row r="7" spans="1:9" x14ac:dyDescent="0.25">
      <c r="A7" s="95" t="s">
        <v>14</v>
      </c>
      <c r="B7" s="96" t="s">
        <v>15</v>
      </c>
      <c r="C7" s="96" t="s">
        <v>16</v>
      </c>
      <c r="D7" s="96" t="s">
        <v>56</v>
      </c>
      <c r="E7" s="96" t="s">
        <v>108</v>
      </c>
      <c r="F7" s="95" t="s">
        <v>122</v>
      </c>
      <c r="G7" s="95" t="s">
        <v>123</v>
      </c>
      <c r="H7" s="95" t="s">
        <v>109</v>
      </c>
      <c r="I7" s="95" t="s">
        <v>110</v>
      </c>
    </row>
    <row r="8" spans="1:9" ht="25.5" x14ac:dyDescent="0.25">
      <c r="A8" s="10">
        <v>8</v>
      </c>
      <c r="B8" s="10"/>
      <c r="C8" s="10"/>
      <c r="D8" s="10" t="s">
        <v>34</v>
      </c>
      <c r="E8" s="7"/>
      <c r="F8" s="8"/>
      <c r="G8" s="8"/>
      <c r="H8" s="8"/>
      <c r="I8" s="8"/>
    </row>
    <row r="9" spans="1:9" x14ac:dyDescent="0.25">
      <c r="A9" s="10"/>
      <c r="B9" s="15">
        <v>84</v>
      </c>
      <c r="C9" s="15"/>
      <c r="D9" s="15" t="s">
        <v>41</v>
      </c>
      <c r="E9" s="7"/>
      <c r="F9" s="8"/>
      <c r="G9" s="8"/>
      <c r="H9" s="8"/>
      <c r="I9" s="8"/>
    </row>
    <row r="10" spans="1:9" ht="25.5" x14ac:dyDescent="0.25">
      <c r="A10" s="11"/>
      <c r="B10" s="11"/>
      <c r="C10" s="12">
        <v>81</v>
      </c>
      <c r="D10" s="17" t="s">
        <v>42</v>
      </c>
      <c r="E10" s="7"/>
      <c r="F10" s="8"/>
      <c r="G10" s="8"/>
      <c r="H10" s="8"/>
      <c r="I10" s="8"/>
    </row>
    <row r="11" spans="1:9" ht="25.5" x14ac:dyDescent="0.25">
      <c r="A11" s="13">
        <v>5</v>
      </c>
      <c r="B11" s="14"/>
      <c r="C11" s="14"/>
      <c r="D11" s="27" t="s">
        <v>35</v>
      </c>
      <c r="E11" s="7"/>
      <c r="F11" s="8"/>
      <c r="G11" s="8"/>
      <c r="H11" s="8"/>
      <c r="I11" s="8"/>
    </row>
    <row r="12" spans="1:9" ht="25.5" x14ac:dyDescent="0.25">
      <c r="A12" s="15"/>
      <c r="B12" s="15">
        <v>54</v>
      </c>
      <c r="C12" s="15"/>
      <c r="D12" s="28" t="s">
        <v>43</v>
      </c>
      <c r="E12" s="7"/>
      <c r="F12" s="8"/>
      <c r="G12" s="8"/>
      <c r="H12" s="8"/>
      <c r="I12" s="9"/>
    </row>
    <row r="13" spans="1:9" x14ac:dyDescent="0.25">
      <c r="A13" s="15"/>
      <c r="B13" s="15"/>
      <c r="C13" s="12">
        <v>11</v>
      </c>
      <c r="D13" s="12" t="s">
        <v>18</v>
      </c>
      <c r="E13" s="7"/>
      <c r="F13" s="8"/>
      <c r="G13" s="8"/>
      <c r="H13" s="8"/>
      <c r="I13" s="9"/>
    </row>
    <row r="14" spans="1:9" x14ac:dyDescent="0.25">
      <c r="A14" s="15"/>
      <c r="B14" s="15"/>
      <c r="C14" s="12">
        <v>31</v>
      </c>
      <c r="D14" s="12" t="s">
        <v>44</v>
      </c>
      <c r="E14" s="7"/>
      <c r="F14" s="8"/>
      <c r="G14" s="8"/>
      <c r="H14" s="8"/>
      <c r="I14" s="9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25"/>
  <sheetViews>
    <sheetView workbookViewId="0">
      <selection activeCell="L14" sqref="L1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153" t="s">
        <v>124</v>
      </c>
      <c r="B1" s="153"/>
      <c r="C1" s="153"/>
      <c r="D1" s="153"/>
      <c r="E1" s="153"/>
      <c r="F1" s="153"/>
      <c r="G1" s="153"/>
      <c r="H1" s="153"/>
      <c r="I1" s="153"/>
    </row>
    <row r="2" spans="1:9" ht="18" x14ac:dyDescent="0.25">
      <c r="A2" s="3"/>
      <c r="B2" s="3"/>
      <c r="C2" s="3"/>
      <c r="D2" s="3"/>
      <c r="E2" s="3"/>
      <c r="F2" s="3"/>
      <c r="G2" s="3"/>
      <c r="H2" s="4"/>
      <c r="I2" s="4"/>
    </row>
    <row r="3" spans="1:9" ht="18" customHeight="1" x14ac:dyDescent="0.25">
      <c r="A3" s="153" t="s">
        <v>36</v>
      </c>
      <c r="B3" s="155"/>
      <c r="C3" s="155"/>
      <c r="D3" s="155"/>
      <c r="E3" s="155"/>
      <c r="F3" s="155"/>
      <c r="G3" s="155"/>
      <c r="H3" s="155"/>
      <c r="I3" s="155"/>
    </row>
    <row r="4" spans="1:9" ht="18" x14ac:dyDescent="0.25">
      <c r="A4" s="3"/>
      <c r="B4" s="3"/>
      <c r="C4" s="3"/>
      <c r="D4" s="3"/>
      <c r="E4" s="3"/>
      <c r="F4" s="3"/>
      <c r="G4" s="3"/>
      <c r="H4" s="4"/>
      <c r="I4" s="4"/>
    </row>
    <row r="5" spans="1:9" x14ac:dyDescent="0.25">
      <c r="A5" s="180" t="s">
        <v>38</v>
      </c>
      <c r="B5" s="181"/>
      <c r="C5" s="182"/>
      <c r="D5" s="96" t="s">
        <v>39</v>
      </c>
      <c r="E5" s="96" t="s">
        <v>123</v>
      </c>
      <c r="F5" s="95" t="s">
        <v>122</v>
      </c>
      <c r="G5" s="95" t="s">
        <v>123</v>
      </c>
      <c r="H5" s="95" t="s">
        <v>109</v>
      </c>
      <c r="I5" s="95" t="s">
        <v>110</v>
      </c>
    </row>
    <row r="6" spans="1:9" ht="38.25" x14ac:dyDescent="0.25">
      <c r="A6" s="183" t="s">
        <v>129</v>
      </c>
      <c r="B6" s="184"/>
      <c r="C6" s="185"/>
      <c r="D6" s="101" t="s">
        <v>127</v>
      </c>
      <c r="E6" s="77">
        <f>E8</f>
        <v>2189988.7000000002</v>
      </c>
      <c r="F6" s="77">
        <f>F8</f>
        <v>2189988.7000000002</v>
      </c>
      <c r="G6" s="77">
        <f t="shared" ref="G6:I6" si="0">G8</f>
        <v>2215525.0499999998</v>
      </c>
      <c r="H6" s="77">
        <f t="shared" si="0"/>
        <v>101.16604939559733</v>
      </c>
      <c r="I6" s="77">
        <f t="shared" si="0"/>
        <v>101.16604939559733</v>
      </c>
    </row>
    <row r="7" spans="1:9" x14ac:dyDescent="0.25">
      <c r="A7" s="183" t="s">
        <v>130</v>
      </c>
      <c r="B7" s="184"/>
      <c r="C7" s="185"/>
      <c r="D7" s="101" t="s">
        <v>45</v>
      </c>
      <c r="E7" s="78"/>
      <c r="F7" s="79"/>
      <c r="G7" s="79"/>
      <c r="H7" s="77"/>
      <c r="I7" s="77"/>
    </row>
    <row r="8" spans="1:9" x14ac:dyDescent="0.25">
      <c r="A8" s="186" t="s">
        <v>66</v>
      </c>
      <c r="B8" s="187"/>
      <c r="C8" s="188"/>
      <c r="D8" s="38" t="s">
        <v>46</v>
      </c>
      <c r="E8" s="77">
        <f>E9</f>
        <v>2189988.7000000002</v>
      </c>
      <c r="F8" s="77">
        <f>F9</f>
        <v>2189988.7000000002</v>
      </c>
      <c r="G8" s="77">
        <f>G9</f>
        <v>2215525.0499999998</v>
      </c>
      <c r="H8" s="77">
        <f t="shared" ref="H8:H15" si="1">(G8/E8)*100</f>
        <v>101.16604939559733</v>
      </c>
      <c r="I8" s="77">
        <f t="shared" ref="I8:I15" si="2">(G8/F8)*100</f>
        <v>101.16604939559733</v>
      </c>
    </row>
    <row r="9" spans="1:9" x14ac:dyDescent="0.25">
      <c r="A9" s="189">
        <v>3</v>
      </c>
      <c r="B9" s="190"/>
      <c r="C9" s="191"/>
      <c r="D9" s="29" t="s">
        <v>22</v>
      </c>
      <c r="E9" s="77">
        <f>SUM(E10:E15)</f>
        <v>2189988.7000000002</v>
      </c>
      <c r="F9" s="77">
        <f>SUM(F10:F15)</f>
        <v>2189988.7000000002</v>
      </c>
      <c r="G9" s="77">
        <f>SUM(G10:G15)</f>
        <v>2215525.0499999998</v>
      </c>
      <c r="H9" s="77">
        <f t="shared" si="1"/>
        <v>101.16604939559733</v>
      </c>
      <c r="I9" s="77">
        <f t="shared" si="2"/>
        <v>101.16604939559733</v>
      </c>
    </row>
    <row r="10" spans="1:9" x14ac:dyDescent="0.25">
      <c r="A10" s="192">
        <v>3111</v>
      </c>
      <c r="B10" s="193"/>
      <c r="C10" s="194"/>
      <c r="D10" s="29" t="s">
        <v>76</v>
      </c>
      <c r="E10" s="78">
        <v>2071700.7</v>
      </c>
      <c r="F10" s="78">
        <v>2071700.7</v>
      </c>
      <c r="G10" s="79">
        <v>1624478.02</v>
      </c>
      <c r="H10" s="77">
        <f t="shared" si="1"/>
        <v>78.412775551989739</v>
      </c>
      <c r="I10" s="77">
        <f t="shared" si="2"/>
        <v>78.412775551989739</v>
      </c>
    </row>
    <row r="11" spans="1:9" x14ac:dyDescent="0.25">
      <c r="A11" s="65">
        <v>3113</v>
      </c>
      <c r="B11" s="66"/>
      <c r="C11" s="67"/>
      <c r="D11" s="64" t="s">
        <v>115</v>
      </c>
      <c r="E11" s="78"/>
      <c r="F11" s="79"/>
      <c r="G11" s="79">
        <v>29976.880000000001</v>
      </c>
      <c r="H11" s="77"/>
      <c r="I11" s="77"/>
    </row>
    <row r="12" spans="1:9" x14ac:dyDescent="0.25">
      <c r="A12" s="65">
        <v>3114</v>
      </c>
      <c r="B12" s="66"/>
      <c r="C12" s="67"/>
      <c r="D12" s="64" t="s">
        <v>116</v>
      </c>
      <c r="E12" s="78"/>
      <c r="F12" s="79"/>
      <c r="G12" s="79">
        <v>105325.93</v>
      </c>
      <c r="H12" s="77"/>
      <c r="I12" s="77"/>
    </row>
    <row r="13" spans="1:9" x14ac:dyDescent="0.25">
      <c r="A13" s="192">
        <v>3121</v>
      </c>
      <c r="B13" s="193"/>
      <c r="C13" s="194"/>
      <c r="D13" s="29" t="s">
        <v>77</v>
      </c>
      <c r="E13" s="78"/>
      <c r="F13" s="79"/>
      <c r="G13" s="79">
        <v>59671.61</v>
      </c>
      <c r="H13" s="77"/>
      <c r="I13" s="77"/>
    </row>
    <row r="14" spans="1:9" ht="25.5" x14ac:dyDescent="0.25">
      <c r="A14" s="50">
        <v>3132</v>
      </c>
      <c r="B14" s="51"/>
      <c r="C14" s="52"/>
      <c r="D14" s="49" t="s">
        <v>102</v>
      </c>
      <c r="E14" s="78"/>
      <c r="F14" s="79"/>
      <c r="G14" s="79">
        <v>275431.48</v>
      </c>
      <c r="H14" s="77"/>
      <c r="I14" s="77"/>
    </row>
    <row r="15" spans="1:9" x14ac:dyDescent="0.25">
      <c r="A15" s="56">
        <v>3212</v>
      </c>
      <c r="B15" s="57"/>
      <c r="C15" s="58"/>
      <c r="D15" s="55" t="s">
        <v>103</v>
      </c>
      <c r="E15" s="78">
        <v>118288</v>
      </c>
      <c r="F15" s="79">
        <v>118288</v>
      </c>
      <c r="G15" s="79">
        <v>120641.13</v>
      </c>
      <c r="H15" s="77">
        <f t="shared" si="1"/>
        <v>101.98932267009333</v>
      </c>
      <c r="I15" s="77">
        <f t="shared" si="2"/>
        <v>101.98932267009333</v>
      </c>
    </row>
    <row r="18" spans="1:9" x14ac:dyDescent="0.25">
      <c r="A18" s="180" t="s">
        <v>38</v>
      </c>
      <c r="B18" s="181"/>
      <c r="C18" s="182"/>
      <c r="D18" s="96" t="s">
        <v>39</v>
      </c>
      <c r="E18" s="96" t="s">
        <v>108</v>
      </c>
      <c r="F18" s="95" t="s">
        <v>122</v>
      </c>
      <c r="G18" s="95" t="s">
        <v>123</v>
      </c>
      <c r="H18" s="95" t="s">
        <v>109</v>
      </c>
      <c r="I18" s="95" t="s">
        <v>110</v>
      </c>
    </row>
    <row r="19" spans="1:9" ht="25.5" x14ac:dyDescent="0.25">
      <c r="A19" s="183" t="s">
        <v>131</v>
      </c>
      <c r="B19" s="184"/>
      <c r="C19" s="185"/>
      <c r="D19" s="40" t="s">
        <v>125</v>
      </c>
      <c r="E19" s="77">
        <f>E21</f>
        <v>2716</v>
      </c>
      <c r="F19" s="77">
        <f>F21</f>
        <v>2716</v>
      </c>
      <c r="G19" s="77">
        <f>G21</f>
        <v>1736</v>
      </c>
      <c r="H19" s="77">
        <f>H21</f>
        <v>63.917525773195869</v>
      </c>
      <c r="I19" s="77">
        <f>I21</f>
        <v>63.917525773195869</v>
      </c>
    </row>
    <row r="20" spans="1:9" x14ac:dyDescent="0.25">
      <c r="A20" s="183" t="s">
        <v>132</v>
      </c>
      <c r="B20" s="184"/>
      <c r="C20" s="185"/>
      <c r="D20" s="40" t="s">
        <v>45</v>
      </c>
      <c r="E20" s="78"/>
      <c r="F20" s="79"/>
      <c r="G20" s="79"/>
      <c r="H20" s="77"/>
      <c r="I20" s="77"/>
    </row>
    <row r="21" spans="1:9" x14ac:dyDescent="0.25">
      <c r="A21" s="186" t="s">
        <v>126</v>
      </c>
      <c r="B21" s="187"/>
      <c r="C21" s="188"/>
      <c r="D21" s="41" t="s">
        <v>46</v>
      </c>
      <c r="E21" s="77">
        <f>E22</f>
        <v>2716</v>
      </c>
      <c r="F21" s="77">
        <f>F22</f>
        <v>2716</v>
      </c>
      <c r="G21" s="77">
        <f>G22</f>
        <v>1736</v>
      </c>
      <c r="H21" s="77">
        <f t="shared" ref="H21:H23" si="3">(G21/E21)*100</f>
        <v>63.917525773195869</v>
      </c>
      <c r="I21" s="77">
        <f t="shared" ref="I21:I23" si="4">(G21/F21)*100</f>
        <v>63.917525773195869</v>
      </c>
    </row>
    <row r="22" spans="1:9" x14ac:dyDescent="0.25">
      <c r="A22" s="189">
        <v>3</v>
      </c>
      <c r="B22" s="190"/>
      <c r="C22" s="191"/>
      <c r="D22" s="39" t="s">
        <v>22</v>
      </c>
      <c r="E22" s="77">
        <f>E23+E24+E25+E26+E28</f>
        <v>2716</v>
      </c>
      <c r="F22" s="77">
        <f t="shared" ref="F22" si="5">F23+F24+F25+F26+F28</f>
        <v>2716</v>
      </c>
      <c r="G22" s="77">
        <f>SUM(G23:G28)</f>
        <v>1736</v>
      </c>
      <c r="H22" s="77">
        <f t="shared" si="3"/>
        <v>63.917525773195869</v>
      </c>
      <c r="I22" s="77">
        <f t="shared" si="4"/>
        <v>63.917525773195869</v>
      </c>
    </row>
    <row r="23" spans="1:9" x14ac:dyDescent="0.25">
      <c r="A23" s="192">
        <v>3111</v>
      </c>
      <c r="B23" s="193"/>
      <c r="C23" s="194"/>
      <c r="D23" s="39" t="s">
        <v>76</v>
      </c>
      <c r="E23" s="78">
        <v>2716</v>
      </c>
      <c r="F23" s="79">
        <v>2716</v>
      </c>
      <c r="G23" s="79">
        <v>1490.16</v>
      </c>
      <c r="H23" s="77">
        <f t="shared" si="3"/>
        <v>54.865979381443296</v>
      </c>
      <c r="I23" s="77">
        <f t="shared" si="4"/>
        <v>54.865979381443296</v>
      </c>
    </row>
    <row r="24" spans="1:9" x14ac:dyDescent="0.25">
      <c r="A24" s="192">
        <v>3121</v>
      </c>
      <c r="B24" s="193"/>
      <c r="C24" s="194"/>
      <c r="D24" s="39" t="s">
        <v>77</v>
      </c>
      <c r="E24" s="78"/>
      <c r="F24" s="79"/>
      <c r="G24" s="79"/>
      <c r="H24" s="77"/>
      <c r="I24" s="77">
        <v>0</v>
      </c>
    </row>
    <row r="25" spans="1:9" ht="25.5" x14ac:dyDescent="0.25">
      <c r="A25" s="56">
        <v>3132</v>
      </c>
      <c r="B25" s="57"/>
      <c r="C25" s="58"/>
      <c r="D25" s="55" t="s">
        <v>102</v>
      </c>
      <c r="E25" s="78"/>
      <c r="F25" s="79"/>
      <c r="G25" s="79">
        <v>245.84</v>
      </c>
      <c r="H25" s="77"/>
      <c r="I25" s="77"/>
    </row>
    <row r="26" spans="1:9" x14ac:dyDescent="0.25">
      <c r="A26" s="56">
        <v>3212</v>
      </c>
      <c r="B26" s="57"/>
      <c r="C26" s="58"/>
      <c r="D26" s="55" t="s">
        <v>103</v>
      </c>
      <c r="E26" s="78"/>
      <c r="F26" s="79"/>
      <c r="G26" s="79"/>
      <c r="H26" s="77"/>
      <c r="I26" s="77">
        <v>0</v>
      </c>
    </row>
    <row r="27" spans="1:9" ht="25.5" x14ac:dyDescent="0.25">
      <c r="A27" s="74">
        <v>3221</v>
      </c>
      <c r="B27" s="75"/>
      <c r="C27" s="76"/>
      <c r="D27" s="73" t="s">
        <v>104</v>
      </c>
      <c r="E27" s="78"/>
      <c r="F27" s="79"/>
      <c r="G27" s="79"/>
      <c r="H27" s="77"/>
      <c r="I27" s="77"/>
    </row>
    <row r="28" spans="1:9" x14ac:dyDescent="0.25">
      <c r="A28" s="56">
        <v>3222</v>
      </c>
      <c r="B28" s="57"/>
      <c r="C28" s="58"/>
      <c r="D28" s="55" t="s">
        <v>84</v>
      </c>
      <c r="E28" s="78"/>
      <c r="F28" s="79"/>
      <c r="G28" s="79"/>
      <c r="H28" s="77"/>
      <c r="I28" s="77">
        <v>0</v>
      </c>
    </row>
    <row r="31" spans="1:9" x14ac:dyDescent="0.25">
      <c r="A31" s="180" t="s">
        <v>38</v>
      </c>
      <c r="B31" s="195"/>
      <c r="C31" s="196"/>
      <c r="D31" s="96" t="s">
        <v>39</v>
      </c>
      <c r="E31" s="96" t="s">
        <v>108</v>
      </c>
      <c r="F31" s="95" t="s">
        <v>122</v>
      </c>
      <c r="G31" s="95" t="s">
        <v>123</v>
      </c>
      <c r="H31" s="95" t="s">
        <v>109</v>
      </c>
      <c r="I31" s="95" t="s">
        <v>110</v>
      </c>
    </row>
    <row r="32" spans="1:9" ht="39" customHeight="1" x14ac:dyDescent="0.25">
      <c r="A32" s="183" t="s">
        <v>134</v>
      </c>
      <c r="B32" s="184"/>
      <c r="C32" s="185"/>
      <c r="D32" s="101" t="s">
        <v>133</v>
      </c>
      <c r="E32" s="77">
        <f>E34</f>
        <v>64717.58</v>
      </c>
      <c r="F32" s="77">
        <f t="shared" ref="F32:I32" si="6">F34</f>
        <v>64717.58</v>
      </c>
      <c r="G32" s="77">
        <f t="shared" si="6"/>
        <v>46505.8</v>
      </c>
      <c r="H32" s="77">
        <f t="shared" si="6"/>
        <v>71.859609089215013</v>
      </c>
      <c r="I32" s="77">
        <f t="shared" si="6"/>
        <v>71.859609089215013</v>
      </c>
    </row>
    <row r="33" spans="1:9" x14ac:dyDescent="0.25">
      <c r="A33" s="183" t="s">
        <v>135</v>
      </c>
      <c r="B33" s="184"/>
      <c r="C33" s="185"/>
      <c r="D33" s="101" t="s">
        <v>45</v>
      </c>
      <c r="E33" s="78"/>
      <c r="F33" s="79"/>
      <c r="G33" s="79"/>
      <c r="H33" s="77"/>
      <c r="I33" s="77"/>
    </row>
    <row r="34" spans="1:9" x14ac:dyDescent="0.25">
      <c r="A34" s="186" t="s">
        <v>68</v>
      </c>
      <c r="B34" s="187"/>
      <c r="C34" s="188"/>
      <c r="D34" s="41" t="s">
        <v>46</v>
      </c>
      <c r="E34" s="77">
        <f>E35</f>
        <v>64717.58</v>
      </c>
      <c r="F34" s="77">
        <f>F35</f>
        <v>64717.58</v>
      </c>
      <c r="G34" s="77">
        <f>G35</f>
        <v>46505.8</v>
      </c>
      <c r="H34" s="77">
        <f t="shared" ref="H34:H40" si="7">(G34/E34)*100</f>
        <v>71.859609089215013</v>
      </c>
      <c r="I34" s="77">
        <f t="shared" ref="I34:I40" si="8">(G34/F34)*100</f>
        <v>71.859609089215013</v>
      </c>
    </row>
    <row r="35" spans="1:9" x14ac:dyDescent="0.25">
      <c r="A35" s="189">
        <v>3</v>
      </c>
      <c r="B35" s="190"/>
      <c r="C35" s="191"/>
      <c r="D35" s="39" t="s">
        <v>22</v>
      </c>
      <c r="E35" s="77">
        <f>E36+E37+E38+E40</f>
        <v>64717.58</v>
      </c>
      <c r="F35" s="77">
        <f t="shared" ref="F35" si="9">F36+F38+F40</f>
        <v>64717.58</v>
      </c>
      <c r="G35" s="77">
        <f>SUM(G36,G37,G38,G39,G40,G41)</f>
        <v>46505.8</v>
      </c>
      <c r="H35" s="77">
        <f t="shared" si="7"/>
        <v>71.859609089215013</v>
      </c>
      <c r="I35" s="77">
        <f t="shared" si="8"/>
        <v>71.859609089215013</v>
      </c>
    </row>
    <row r="36" spans="1:9" x14ac:dyDescent="0.25">
      <c r="A36" s="192">
        <v>3111</v>
      </c>
      <c r="B36" s="193"/>
      <c r="C36" s="194"/>
      <c r="D36" s="39" t="s">
        <v>76</v>
      </c>
      <c r="E36" s="78">
        <v>61376.160000000003</v>
      </c>
      <c r="F36" s="79">
        <v>61236.04</v>
      </c>
      <c r="G36" s="79">
        <v>33153.83</v>
      </c>
      <c r="H36" s="77">
        <f t="shared" si="7"/>
        <v>54.017439344527254</v>
      </c>
      <c r="I36" s="77">
        <f t="shared" si="8"/>
        <v>54.141041778664992</v>
      </c>
    </row>
    <row r="37" spans="1:9" x14ac:dyDescent="0.25">
      <c r="A37" s="68">
        <v>3121</v>
      </c>
      <c r="B37" s="69"/>
      <c r="C37" s="70"/>
      <c r="D37" s="71" t="s">
        <v>77</v>
      </c>
      <c r="E37" s="78"/>
      <c r="F37" s="79"/>
      <c r="G37" s="79">
        <v>4400</v>
      </c>
      <c r="H37" s="77" t="e">
        <f t="shared" si="7"/>
        <v>#DIV/0!</v>
      </c>
      <c r="I37" s="77"/>
    </row>
    <row r="38" spans="1:9" ht="25.5" x14ac:dyDescent="0.25">
      <c r="A38" s="192">
        <v>3132</v>
      </c>
      <c r="B38" s="193"/>
      <c r="C38" s="194"/>
      <c r="D38" s="39" t="s">
        <v>102</v>
      </c>
      <c r="E38" s="78"/>
      <c r="F38" s="79"/>
      <c r="G38" s="79">
        <v>5470.43</v>
      </c>
      <c r="H38" s="77" t="e">
        <f t="shared" si="7"/>
        <v>#DIV/0!</v>
      </c>
      <c r="I38" s="77" t="e">
        <f t="shared" si="8"/>
        <v>#DIV/0!</v>
      </c>
    </row>
    <row r="39" spans="1:9" x14ac:dyDescent="0.25">
      <c r="A39" s="53">
        <v>3211</v>
      </c>
      <c r="B39" s="141"/>
      <c r="C39" s="142"/>
      <c r="D39" s="142" t="s">
        <v>79</v>
      </c>
      <c r="E39" s="78"/>
      <c r="F39" s="79"/>
      <c r="G39" s="79">
        <v>60</v>
      </c>
      <c r="H39" s="77">
        <v>0</v>
      </c>
      <c r="I39" s="77">
        <v>0</v>
      </c>
    </row>
    <row r="40" spans="1:9" x14ac:dyDescent="0.25">
      <c r="A40" s="60">
        <v>3212</v>
      </c>
      <c r="B40" s="61"/>
      <c r="C40" s="62"/>
      <c r="D40" s="59" t="s">
        <v>103</v>
      </c>
      <c r="E40" s="78">
        <v>3341.42</v>
      </c>
      <c r="F40" s="79">
        <v>3481.54</v>
      </c>
      <c r="G40" s="79">
        <v>3250.5</v>
      </c>
      <c r="H40" s="77">
        <f t="shared" si="7"/>
        <v>97.279001143226523</v>
      </c>
      <c r="I40" s="77">
        <f t="shared" si="8"/>
        <v>93.363856224544321</v>
      </c>
    </row>
    <row r="41" spans="1:9" x14ac:dyDescent="0.25">
      <c r="A41" s="135">
        <v>3237</v>
      </c>
      <c r="B41" s="136"/>
      <c r="C41" s="137"/>
      <c r="D41" s="145" t="s">
        <v>93</v>
      </c>
      <c r="E41" s="79">
        <v>0</v>
      </c>
      <c r="F41" s="79">
        <v>0</v>
      </c>
      <c r="G41" s="79">
        <v>171.04</v>
      </c>
      <c r="H41" s="77">
        <v>0</v>
      </c>
      <c r="I41" s="77"/>
    </row>
    <row r="42" spans="1:9" x14ac:dyDescent="0.25">
      <c r="A42" s="143"/>
      <c r="B42" s="143"/>
      <c r="C42" s="143"/>
      <c r="D42" s="144"/>
      <c r="E42" s="98"/>
      <c r="F42" s="98"/>
      <c r="G42" s="98"/>
      <c r="H42" s="99"/>
      <c r="I42" s="99"/>
    </row>
    <row r="44" spans="1:9" x14ac:dyDescent="0.25">
      <c r="A44" s="180" t="s">
        <v>38</v>
      </c>
      <c r="B44" s="195"/>
      <c r="C44" s="196"/>
      <c r="D44" s="96" t="s">
        <v>39</v>
      </c>
      <c r="E44" s="96" t="s">
        <v>108</v>
      </c>
      <c r="F44" s="95" t="s">
        <v>122</v>
      </c>
      <c r="G44" s="95" t="s">
        <v>123</v>
      </c>
      <c r="H44" s="95" t="s">
        <v>109</v>
      </c>
      <c r="I44" s="95" t="s">
        <v>110</v>
      </c>
    </row>
    <row r="45" spans="1:9" ht="25.5" x14ac:dyDescent="0.25">
      <c r="A45" s="183" t="s">
        <v>136</v>
      </c>
      <c r="B45" s="184"/>
      <c r="C45" s="185"/>
      <c r="D45" s="101" t="s">
        <v>144</v>
      </c>
      <c r="E45" s="77">
        <f>E47+E53</f>
        <v>66652.2</v>
      </c>
      <c r="F45" s="77">
        <f>F47+F53</f>
        <v>66652.2</v>
      </c>
      <c r="G45" s="77">
        <f>G47</f>
        <v>59448.46</v>
      </c>
      <c r="H45" s="77">
        <f>(G45/E45)*100</f>
        <v>89.192044673694198</v>
      </c>
      <c r="I45" s="77">
        <f>(G45/F45)*100</f>
        <v>89.192044673694198</v>
      </c>
    </row>
    <row r="46" spans="1:9" ht="30" customHeight="1" x14ac:dyDescent="0.25">
      <c r="A46" s="183" t="s">
        <v>137</v>
      </c>
      <c r="B46" s="184"/>
      <c r="C46" s="185"/>
      <c r="D46" s="101" t="s">
        <v>45</v>
      </c>
      <c r="E46" s="78"/>
      <c r="F46" s="79"/>
      <c r="G46" s="79"/>
      <c r="H46" s="77"/>
      <c r="I46" s="77"/>
    </row>
    <row r="47" spans="1:9" x14ac:dyDescent="0.25">
      <c r="A47" s="186" t="s">
        <v>67</v>
      </c>
      <c r="B47" s="187"/>
      <c r="C47" s="188"/>
      <c r="D47" s="85" t="s">
        <v>46</v>
      </c>
      <c r="E47" s="77">
        <f>E48</f>
        <v>66652.2</v>
      </c>
      <c r="F47" s="77">
        <f>F48</f>
        <v>66652.2</v>
      </c>
      <c r="G47" s="77">
        <f>G48</f>
        <v>59448.46</v>
      </c>
      <c r="H47" s="77">
        <f t="shared" ref="H47:H52" si="10">(G47/E47)*100</f>
        <v>89.192044673694198</v>
      </c>
      <c r="I47" s="77">
        <f t="shared" ref="I47:I49" si="11">(G47/F47)*100</f>
        <v>89.192044673694198</v>
      </c>
    </row>
    <row r="48" spans="1:9" x14ac:dyDescent="0.25">
      <c r="A48" s="189">
        <v>3</v>
      </c>
      <c r="B48" s="190"/>
      <c r="C48" s="191"/>
      <c r="D48" s="81" t="s">
        <v>22</v>
      </c>
      <c r="E48" s="77">
        <f>E49+E50+E51+E52</f>
        <v>66652.2</v>
      </c>
      <c r="F48" s="77">
        <f t="shared" ref="F48" si="12">F49+F51+F52</f>
        <v>66652.2</v>
      </c>
      <c r="G48" s="77">
        <f>SUM(G49:G53)</f>
        <v>59448.46</v>
      </c>
      <c r="H48" s="77">
        <f t="shared" si="10"/>
        <v>89.192044673694198</v>
      </c>
      <c r="I48" s="77">
        <f t="shared" si="11"/>
        <v>89.192044673694198</v>
      </c>
    </row>
    <row r="49" spans="1:9" x14ac:dyDescent="0.25">
      <c r="A49" s="192">
        <v>3111</v>
      </c>
      <c r="B49" s="193"/>
      <c r="C49" s="194"/>
      <c r="D49" s="81" t="s">
        <v>76</v>
      </c>
      <c r="E49" s="78">
        <f>23883.01+39499.99</f>
        <v>63383</v>
      </c>
      <c r="F49" s="78">
        <f>23883.01+39499.99</f>
        <v>63383</v>
      </c>
      <c r="G49" s="79">
        <f>15965.61+28719.75</f>
        <v>44685.36</v>
      </c>
      <c r="H49" s="77">
        <f t="shared" si="10"/>
        <v>70.500544309988484</v>
      </c>
      <c r="I49" s="77">
        <f t="shared" si="11"/>
        <v>70.500544309988484</v>
      </c>
    </row>
    <row r="50" spans="1:9" x14ac:dyDescent="0.25">
      <c r="A50" s="82">
        <v>3121</v>
      </c>
      <c r="B50" s="83"/>
      <c r="C50" s="84"/>
      <c r="D50" s="81" t="s">
        <v>77</v>
      </c>
      <c r="E50" s="78"/>
      <c r="F50" s="79"/>
      <c r="G50" s="79">
        <f>2700+2000</f>
        <v>4700</v>
      </c>
      <c r="H50" s="77"/>
      <c r="I50" s="77"/>
    </row>
    <row r="51" spans="1:9" ht="25.5" x14ac:dyDescent="0.25">
      <c r="A51" s="192">
        <v>3132</v>
      </c>
      <c r="B51" s="193"/>
      <c r="C51" s="194"/>
      <c r="D51" s="81" t="s">
        <v>102</v>
      </c>
      <c r="E51" s="78"/>
      <c r="F51" s="79"/>
      <c r="G51" s="79">
        <f>2634.34+4738.77</f>
        <v>7373.1100000000006</v>
      </c>
      <c r="H51" s="77"/>
      <c r="I51" s="77"/>
    </row>
    <row r="52" spans="1:9" x14ac:dyDescent="0.25">
      <c r="A52" s="82">
        <v>3212</v>
      </c>
      <c r="B52" s="83"/>
      <c r="C52" s="84"/>
      <c r="D52" s="81" t="s">
        <v>103</v>
      </c>
      <c r="E52" s="78">
        <f>2030+1239.2</f>
        <v>3269.2</v>
      </c>
      <c r="F52" s="78">
        <f>2030+1239.2</f>
        <v>3269.2</v>
      </c>
      <c r="G52" s="79">
        <f>1095.4+1564.59</f>
        <v>2659.99</v>
      </c>
      <c r="H52" s="77">
        <f t="shared" si="10"/>
        <v>81.365165789795668</v>
      </c>
      <c r="I52" s="77">
        <f t="shared" ref="I52" si="13">(G52/F52)*100</f>
        <v>81.365165789795668</v>
      </c>
    </row>
    <row r="53" spans="1:9" ht="15" customHeight="1" x14ac:dyDescent="0.25">
      <c r="A53" s="135">
        <v>3211</v>
      </c>
      <c r="B53" s="136"/>
      <c r="C53" s="137"/>
      <c r="D53" s="142" t="s">
        <v>79</v>
      </c>
      <c r="E53" s="78"/>
      <c r="F53" s="79"/>
      <c r="G53" s="79">
        <v>30</v>
      </c>
      <c r="H53" s="77"/>
      <c r="I53" s="77"/>
    </row>
    <row r="56" spans="1:9" x14ac:dyDescent="0.25">
      <c r="A56" s="180" t="s">
        <v>38</v>
      </c>
      <c r="B56" s="195"/>
      <c r="C56" s="196"/>
      <c r="D56" s="96" t="s">
        <v>39</v>
      </c>
      <c r="E56" s="96" t="s">
        <v>108</v>
      </c>
      <c r="F56" s="95" t="s">
        <v>122</v>
      </c>
      <c r="G56" s="95" t="s">
        <v>123</v>
      </c>
      <c r="H56" s="95" t="s">
        <v>109</v>
      </c>
      <c r="I56" s="95" t="s">
        <v>110</v>
      </c>
    </row>
    <row r="57" spans="1:9" ht="25.5" customHeight="1" x14ac:dyDescent="0.25">
      <c r="A57" s="183" t="s">
        <v>142</v>
      </c>
      <c r="B57" s="184"/>
      <c r="C57" s="185"/>
      <c r="D57" s="101" t="s">
        <v>145</v>
      </c>
      <c r="E57" s="77">
        <f>E59</f>
        <v>75100</v>
      </c>
      <c r="F57" s="77">
        <f t="shared" ref="F57:I57" si="14">F59</f>
        <v>75100</v>
      </c>
      <c r="G57" s="77">
        <f t="shared" si="14"/>
        <v>71286.64</v>
      </c>
      <c r="H57" s="77">
        <f t="shared" si="14"/>
        <v>94.922290279627163</v>
      </c>
      <c r="I57" s="77">
        <f t="shared" si="14"/>
        <v>94.922290279627163</v>
      </c>
    </row>
    <row r="58" spans="1:9" ht="15" customHeight="1" x14ac:dyDescent="0.25">
      <c r="A58" s="183" t="s">
        <v>143</v>
      </c>
      <c r="B58" s="184"/>
      <c r="C58" s="185"/>
      <c r="D58" s="40" t="s">
        <v>45</v>
      </c>
      <c r="E58" s="78"/>
      <c r="F58" s="79"/>
      <c r="G58" s="79"/>
      <c r="H58" s="77"/>
      <c r="I58" s="77"/>
    </row>
    <row r="59" spans="1:9" x14ac:dyDescent="0.25">
      <c r="A59" s="186" t="s">
        <v>66</v>
      </c>
      <c r="B59" s="187"/>
      <c r="C59" s="188"/>
      <c r="D59" s="41" t="s">
        <v>46</v>
      </c>
      <c r="E59" s="77">
        <f>E60</f>
        <v>75100</v>
      </c>
      <c r="F59" s="77">
        <f>F60</f>
        <v>75100</v>
      </c>
      <c r="G59" s="77">
        <f>G60</f>
        <v>71286.64</v>
      </c>
      <c r="H59" s="77">
        <f t="shared" ref="H59:H60" si="15">(G59/E59)*100</f>
        <v>94.922290279627163</v>
      </c>
      <c r="I59" s="77">
        <f t="shared" ref="I59:I60" si="16">(G59/F59)*100</f>
        <v>94.922290279627163</v>
      </c>
    </row>
    <row r="60" spans="1:9" x14ac:dyDescent="0.25">
      <c r="A60" s="189">
        <v>32</v>
      </c>
      <c r="B60" s="190"/>
      <c r="C60" s="191"/>
      <c r="D60" s="39" t="s">
        <v>22</v>
      </c>
      <c r="E60" s="77">
        <v>75100</v>
      </c>
      <c r="F60" s="77">
        <v>75100</v>
      </c>
      <c r="G60" s="77">
        <f>SUM(G61:G61)</f>
        <v>71286.64</v>
      </c>
      <c r="H60" s="77">
        <f t="shared" si="15"/>
        <v>94.922290279627163</v>
      </c>
      <c r="I60" s="77">
        <f t="shared" si="16"/>
        <v>94.922290279627163</v>
      </c>
    </row>
    <row r="61" spans="1:9" x14ac:dyDescent="0.25">
      <c r="A61" s="53">
        <v>3222</v>
      </c>
      <c r="B61" s="72"/>
      <c r="C61" s="73"/>
      <c r="D61" s="73" t="s">
        <v>77</v>
      </c>
      <c r="E61" s="80"/>
      <c r="F61" s="77"/>
      <c r="G61" s="77">
        <v>71286.64</v>
      </c>
      <c r="H61" s="77"/>
      <c r="I61" s="77"/>
    </row>
    <row r="64" spans="1:9" x14ac:dyDescent="0.25">
      <c r="A64" s="180" t="s">
        <v>38</v>
      </c>
      <c r="B64" s="181"/>
      <c r="C64" s="182"/>
      <c r="D64" s="138" t="s">
        <v>39</v>
      </c>
      <c r="E64" s="138" t="s">
        <v>108</v>
      </c>
      <c r="F64" s="95" t="s">
        <v>122</v>
      </c>
      <c r="G64" s="95" t="s">
        <v>123</v>
      </c>
      <c r="H64" s="95" t="s">
        <v>109</v>
      </c>
      <c r="I64" s="95" t="s">
        <v>110</v>
      </c>
    </row>
    <row r="65" spans="1:9" ht="25.5" customHeight="1" x14ac:dyDescent="0.25">
      <c r="A65" s="183" t="s">
        <v>138</v>
      </c>
      <c r="B65" s="184"/>
      <c r="C65" s="185"/>
      <c r="D65" s="101" t="s">
        <v>146</v>
      </c>
      <c r="E65" s="77">
        <f>SUM(E69,E80,E84)</f>
        <v>56940.09</v>
      </c>
      <c r="F65" s="77">
        <f>SUM(F69,F80,F84)</f>
        <v>56940.09</v>
      </c>
      <c r="G65" s="77">
        <f>SUM(G69,G83)</f>
        <v>64351.130000000005</v>
      </c>
      <c r="H65" s="77" t="e">
        <f>#REF!</f>
        <v>#REF!</v>
      </c>
      <c r="I65" s="77" t="e">
        <f>#REF!</f>
        <v>#REF!</v>
      </c>
    </row>
    <row r="66" spans="1:9" ht="15" customHeight="1" x14ac:dyDescent="0.25">
      <c r="A66" s="183" t="s">
        <v>139</v>
      </c>
      <c r="B66" s="184"/>
      <c r="C66" s="185"/>
      <c r="D66" s="43" t="s">
        <v>45</v>
      </c>
      <c r="E66" s="78"/>
      <c r="F66" s="79"/>
      <c r="G66" s="79"/>
      <c r="H66" s="77"/>
      <c r="I66" s="77"/>
    </row>
    <row r="67" spans="1:9" x14ac:dyDescent="0.25">
      <c r="A67" s="186" t="s">
        <v>69</v>
      </c>
      <c r="B67" s="187"/>
      <c r="C67" s="188"/>
      <c r="D67" s="44" t="s">
        <v>46</v>
      </c>
      <c r="E67" s="78"/>
      <c r="F67" s="79"/>
      <c r="G67" s="79"/>
      <c r="H67" s="77"/>
      <c r="I67" s="77"/>
    </row>
    <row r="68" spans="1:9" x14ac:dyDescent="0.25">
      <c r="A68" s="183">
        <v>3</v>
      </c>
      <c r="B68" s="184"/>
      <c r="C68" s="185"/>
      <c r="D68" s="134" t="s">
        <v>22</v>
      </c>
      <c r="E68" s="80"/>
      <c r="F68" s="77"/>
      <c r="G68" s="77"/>
      <c r="H68" s="77"/>
      <c r="I68" s="77"/>
    </row>
    <row r="69" spans="1:9" x14ac:dyDescent="0.25">
      <c r="A69" s="192">
        <v>32</v>
      </c>
      <c r="B69" s="193"/>
      <c r="C69" s="194"/>
      <c r="D69" s="45" t="s">
        <v>40</v>
      </c>
      <c r="E69" s="78">
        <v>25670.09</v>
      </c>
      <c r="F69" s="79">
        <v>25670.09</v>
      </c>
      <c r="G69" s="79">
        <f>SUM(G70,G73,G77,G81)</f>
        <v>60033.22</v>
      </c>
      <c r="H69" s="77"/>
      <c r="I69" s="77"/>
    </row>
    <row r="70" spans="1:9" x14ac:dyDescent="0.25">
      <c r="A70" s="135">
        <v>322</v>
      </c>
      <c r="B70" s="136"/>
      <c r="C70" s="137"/>
      <c r="D70" s="142" t="s">
        <v>148</v>
      </c>
      <c r="E70" s="78"/>
      <c r="F70" s="79"/>
      <c r="G70" s="79">
        <f>SUM(G71:G72)</f>
        <v>5142.0200000000004</v>
      </c>
      <c r="H70" s="77"/>
      <c r="I70" s="77"/>
    </row>
    <row r="71" spans="1:9" x14ac:dyDescent="0.25">
      <c r="A71" s="135">
        <v>3221</v>
      </c>
      <c r="B71" s="136"/>
      <c r="C71" s="137"/>
      <c r="D71" s="142" t="s">
        <v>149</v>
      </c>
      <c r="E71" s="78"/>
      <c r="F71" s="79"/>
      <c r="G71" s="79">
        <v>2491.85</v>
      </c>
      <c r="H71" s="77"/>
      <c r="I71" s="77"/>
    </row>
    <row r="72" spans="1:9" x14ac:dyDescent="0.25">
      <c r="A72" s="135">
        <v>3225</v>
      </c>
      <c r="B72" s="136"/>
      <c r="C72" s="137"/>
      <c r="D72" s="142" t="s">
        <v>119</v>
      </c>
      <c r="E72" s="78"/>
      <c r="F72" s="79"/>
      <c r="G72" s="79">
        <v>2650.17</v>
      </c>
      <c r="H72" s="77"/>
      <c r="I72" s="77"/>
    </row>
    <row r="73" spans="1:9" x14ac:dyDescent="0.25">
      <c r="A73" s="135">
        <v>323</v>
      </c>
      <c r="B73" s="136"/>
      <c r="C73" s="137"/>
      <c r="D73" s="142" t="s">
        <v>150</v>
      </c>
      <c r="E73" s="78"/>
      <c r="F73" s="79"/>
      <c r="G73" s="79">
        <f>SUM(G74:G76)</f>
        <v>14352.55</v>
      </c>
      <c r="H73" s="77"/>
      <c r="I73" s="77"/>
    </row>
    <row r="74" spans="1:9" ht="25.5" x14ac:dyDescent="0.25">
      <c r="A74" s="135">
        <v>3232</v>
      </c>
      <c r="B74" s="136"/>
      <c r="C74" s="137"/>
      <c r="D74" s="142" t="s">
        <v>151</v>
      </c>
      <c r="E74" s="78"/>
      <c r="F74" s="79"/>
      <c r="G74" s="79">
        <v>1992</v>
      </c>
      <c r="H74" s="77"/>
      <c r="I74" s="77"/>
    </row>
    <row r="75" spans="1:9" x14ac:dyDescent="0.25">
      <c r="A75" s="135">
        <v>3237</v>
      </c>
      <c r="B75" s="136"/>
      <c r="C75" s="137"/>
      <c r="D75" s="142" t="s">
        <v>93</v>
      </c>
      <c r="E75" s="78"/>
      <c r="F75" s="79"/>
      <c r="G75" s="79">
        <v>930</v>
      </c>
      <c r="H75" s="77"/>
      <c r="I75" s="77"/>
    </row>
    <row r="76" spans="1:9" x14ac:dyDescent="0.25">
      <c r="A76" s="135">
        <v>3239</v>
      </c>
      <c r="B76" s="136"/>
      <c r="C76" s="137"/>
      <c r="D76" s="142" t="s">
        <v>95</v>
      </c>
      <c r="E76" s="78"/>
      <c r="F76" s="79"/>
      <c r="G76" s="79">
        <v>11430.55</v>
      </c>
      <c r="H76" s="77"/>
      <c r="I76" s="77"/>
    </row>
    <row r="77" spans="1:9" ht="25.5" x14ac:dyDescent="0.25">
      <c r="A77" s="135">
        <v>329</v>
      </c>
      <c r="B77" s="136"/>
      <c r="C77" s="137"/>
      <c r="D77" s="142" t="s">
        <v>98</v>
      </c>
      <c r="E77" s="78"/>
      <c r="F77" s="79"/>
      <c r="G77" s="79">
        <f>SUM(G78:G79)</f>
        <v>8217.2900000000009</v>
      </c>
      <c r="H77" s="77"/>
      <c r="I77" s="77"/>
    </row>
    <row r="78" spans="1:9" x14ac:dyDescent="0.25">
      <c r="A78" s="135">
        <v>3295</v>
      </c>
      <c r="B78" s="136"/>
      <c r="C78" s="137"/>
      <c r="D78" s="142" t="s">
        <v>97</v>
      </c>
      <c r="E78" s="78"/>
      <c r="F78" s="79"/>
      <c r="G78" s="79">
        <v>5488</v>
      </c>
      <c r="H78" s="77"/>
      <c r="I78" s="77"/>
    </row>
    <row r="79" spans="1:9" ht="25.5" x14ac:dyDescent="0.25">
      <c r="A79" s="135">
        <v>3299</v>
      </c>
      <c r="B79" s="136"/>
      <c r="C79" s="137"/>
      <c r="D79" s="142" t="s">
        <v>98</v>
      </c>
      <c r="E79" s="78"/>
      <c r="F79" s="79"/>
      <c r="G79" s="79">
        <v>2729.29</v>
      </c>
      <c r="H79" s="77"/>
      <c r="I79" s="77"/>
    </row>
    <row r="80" spans="1:9" ht="25.5" x14ac:dyDescent="0.25">
      <c r="A80" s="135">
        <v>37</v>
      </c>
      <c r="B80" s="136"/>
      <c r="C80" s="137"/>
      <c r="D80" s="142" t="s">
        <v>152</v>
      </c>
      <c r="E80" s="78">
        <v>3800</v>
      </c>
      <c r="F80" s="79">
        <v>3800</v>
      </c>
      <c r="G80" s="79">
        <f>SUM(G81)</f>
        <v>32321.360000000001</v>
      </c>
      <c r="H80" s="77"/>
      <c r="I80" s="77"/>
    </row>
    <row r="81" spans="1:9" ht="25.5" x14ac:dyDescent="0.25">
      <c r="A81" s="135">
        <v>372</v>
      </c>
      <c r="B81" s="136"/>
      <c r="C81" s="137"/>
      <c r="D81" s="142" t="s">
        <v>153</v>
      </c>
      <c r="E81" s="78"/>
      <c r="F81" s="79"/>
      <c r="G81" s="79">
        <f>SUM(G82)</f>
        <v>32321.360000000001</v>
      </c>
      <c r="H81" s="77"/>
      <c r="I81" s="77"/>
    </row>
    <row r="82" spans="1:9" x14ac:dyDescent="0.25">
      <c r="A82" s="135">
        <v>3722</v>
      </c>
      <c r="B82" s="136"/>
      <c r="C82" s="137"/>
      <c r="D82" s="142" t="s">
        <v>154</v>
      </c>
      <c r="E82" s="78"/>
      <c r="F82" s="79"/>
      <c r="G82" s="79">
        <v>32321.360000000001</v>
      </c>
      <c r="H82" s="77"/>
      <c r="I82" s="77"/>
    </row>
    <row r="83" spans="1:9" ht="25.5" x14ac:dyDescent="0.25">
      <c r="A83" s="146">
        <v>4</v>
      </c>
      <c r="B83" s="147"/>
      <c r="C83" s="148"/>
      <c r="D83" s="134" t="s">
        <v>24</v>
      </c>
      <c r="E83" s="80"/>
      <c r="F83" s="77"/>
      <c r="G83" s="77">
        <f>G84</f>
        <v>4317.91</v>
      </c>
      <c r="H83" s="77"/>
      <c r="I83" s="77"/>
    </row>
    <row r="84" spans="1:9" ht="25.5" x14ac:dyDescent="0.25">
      <c r="A84" s="135">
        <v>42</v>
      </c>
      <c r="B84" s="136"/>
      <c r="C84" s="137"/>
      <c r="D84" s="142" t="s">
        <v>24</v>
      </c>
      <c r="E84" s="78">
        <v>27470</v>
      </c>
      <c r="F84" s="79">
        <v>27470</v>
      </c>
      <c r="G84" s="79">
        <f>G85</f>
        <v>4317.91</v>
      </c>
      <c r="H84" s="77"/>
      <c r="I84" s="77"/>
    </row>
    <row r="85" spans="1:9" x14ac:dyDescent="0.25">
      <c r="A85" s="135">
        <v>424</v>
      </c>
      <c r="B85" s="136"/>
      <c r="C85" s="137"/>
      <c r="D85" s="142" t="s">
        <v>147</v>
      </c>
      <c r="E85" s="78"/>
      <c r="F85" s="79"/>
      <c r="G85" s="79">
        <f>G86</f>
        <v>4317.91</v>
      </c>
      <c r="H85" s="77"/>
      <c r="I85" s="77"/>
    </row>
    <row r="86" spans="1:9" x14ac:dyDescent="0.25">
      <c r="A86" s="135">
        <v>4241</v>
      </c>
      <c r="B86" s="136"/>
      <c r="C86" s="137"/>
      <c r="D86" s="142" t="s">
        <v>101</v>
      </c>
      <c r="E86" s="78"/>
      <c r="F86" s="79"/>
      <c r="G86" s="79">
        <v>4317.91</v>
      </c>
      <c r="H86" s="77"/>
      <c r="I86" s="77"/>
    </row>
    <row r="87" spans="1:9" x14ac:dyDescent="0.25">
      <c r="A87" s="97"/>
      <c r="B87" s="97"/>
      <c r="C87" s="97"/>
      <c r="D87" s="97"/>
      <c r="E87" s="98"/>
      <c r="F87" s="98"/>
      <c r="G87" s="98"/>
      <c r="H87" s="99"/>
      <c r="I87" s="99"/>
    </row>
    <row r="88" spans="1:9" ht="14.25" customHeight="1" x14ac:dyDescent="0.25"/>
    <row r="89" spans="1:9" x14ac:dyDescent="0.25">
      <c r="A89" s="180" t="s">
        <v>38</v>
      </c>
      <c r="B89" s="181"/>
      <c r="C89" s="182"/>
      <c r="D89" s="96" t="s">
        <v>39</v>
      </c>
      <c r="E89" s="96" t="s">
        <v>108</v>
      </c>
      <c r="F89" s="95" t="s">
        <v>122</v>
      </c>
      <c r="G89" s="95" t="s">
        <v>123</v>
      </c>
      <c r="H89" s="95" t="s">
        <v>109</v>
      </c>
      <c r="I89" s="95" t="s">
        <v>110</v>
      </c>
    </row>
    <row r="90" spans="1:9" ht="38.25" x14ac:dyDescent="0.25">
      <c r="A90" s="183" t="s">
        <v>140</v>
      </c>
      <c r="B90" s="184"/>
      <c r="C90" s="185"/>
      <c r="D90" s="101" t="s">
        <v>70</v>
      </c>
      <c r="E90" s="77">
        <f>E92</f>
        <v>72927.999999999985</v>
      </c>
      <c r="F90" s="77">
        <f>F92</f>
        <v>72928</v>
      </c>
      <c r="G90" s="77">
        <f t="shared" ref="G90:I90" si="17">G92</f>
        <v>77585</v>
      </c>
      <c r="H90" s="77">
        <f t="shared" si="17"/>
        <v>106.38575032909172</v>
      </c>
      <c r="I90" s="77">
        <f t="shared" si="17"/>
        <v>106.38575032909171</v>
      </c>
    </row>
    <row r="91" spans="1:9" x14ac:dyDescent="0.25">
      <c r="A91" s="183" t="s">
        <v>141</v>
      </c>
      <c r="B91" s="184"/>
      <c r="C91" s="185"/>
      <c r="D91" s="43" t="s">
        <v>45</v>
      </c>
      <c r="E91" s="78"/>
      <c r="F91" s="79"/>
      <c r="G91" s="79"/>
      <c r="H91" s="77"/>
      <c r="I91" s="77"/>
    </row>
    <row r="92" spans="1:9" x14ac:dyDescent="0.25">
      <c r="A92" s="186" t="s">
        <v>68</v>
      </c>
      <c r="B92" s="187"/>
      <c r="C92" s="188"/>
      <c r="D92" s="44" t="s">
        <v>46</v>
      </c>
      <c r="E92" s="77">
        <f>E93</f>
        <v>72927.999999999985</v>
      </c>
      <c r="F92" s="77">
        <f>F93</f>
        <v>72928</v>
      </c>
      <c r="G92" s="77">
        <f>G93</f>
        <v>77585</v>
      </c>
      <c r="H92" s="77">
        <f t="shared" ref="H92:H115" si="18">(G92/E92)*100</f>
        <v>106.38575032909172</v>
      </c>
      <c r="I92" s="77">
        <f t="shared" ref="I92:I115" si="19">(G92/F92)*100</f>
        <v>106.38575032909171</v>
      </c>
    </row>
    <row r="93" spans="1:9" x14ac:dyDescent="0.25">
      <c r="A93" s="189">
        <v>3</v>
      </c>
      <c r="B93" s="190"/>
      <c r="C93" s="191"/>
      <c r="D93" s="45" t="s">
        <v>22</v>
      </c>
      <c r="E93" s="77">
        <f>SUM(E94:E115)</f>
        <v>72927.999999999985</v>
      </c>
      <c r="F93" s="77">
        <f>SUM(F96:F115)</f>
        <v>72928</v>
      </c>
      <c r="G93" s="77">
        <f>SUM(G96:G115)</f>
        <v>77585</v>
      </c>
      <c r="H93" s="77">
        <f t="shared" si="18"/>
        <v>106.38575032909172</v>
      </c>
      <c r="I93" s="77">
        <f t="shared" si="19"/>
        <v>106.38575032909171</v>
      </c>
    </row>
    <row r="94" spans="1:9" x14ac:dyDescent="0.25">
      <c r="A94" s="192">
        <v>3121</v>
      </c>
      <c r="B94" s="193"/>
      <c r="C94" s="194"/>
      <c r="D94" s="45" t="s">
        <v>23</v>
      </c>
      <c r="E94" s="78"/>
      <c r="F94" s="79"/>
      <c r="G94" s="79"/>
      <c r="H94" s="77" t="e">
        <f t="shared" si="18"/>
        <v>#DIV/0!</v>
      </c>
      <c r="I94" s="77"/>
    </row>
    <row r="95" spans="1:9" ht="25.5" x14ac:dyDescent="0.25">
      <c r="A95" s="68">
        <v>3132</v>
      </c>
      <c r="B95" s="69"/>
      <c r="C95" s="70"/>
      <c r="D95" s="71" t="s">
        <v>102</v>
      </c>
      <c r="E95" s="78"/>
      <c r="F95" s="79"/>
      <c r="G95" s="79"/>
      <c r="H95" s="77"/>
      <c r="I95" s="77"/>
    </row>
    <row r="96" spans="1:9" x14ac:dyDescent="0.25">
      <c r="A96" s="192">
        <v>3211</v>
      </c>
      <c r="B96" s="193"/>
      <c r="C96" s="194"/>
      <c r="D96" s="45" t="s">
        <v>79</v>
      </c>
      <c r="E96" s="78">
        <v>4627.26</v>
      </c>
      <c r="F96" s="79">
        <v>4725</v>
      </c>
      <c r="G96" s="79">
        <v>4680.75</v>
      </c>
      <c r="H96" s="77">
        <f t="shared" si="18"/>
        <v>101.15597567458927</v>
      </c>
      <c r="I96" s="77">
        <f t="shared" si="19"/>
        <v>99.063492063492063</v>
      </c>
    </row>
    <row r="97" spans="1:10" x14ac:dyDescent="0.25">
      <c r="A97" s="46">
        <v>3213</v>
      </c>
      <c r="B97" s="47"/>
      <c r="C97" s="48"/>
      <c r="D97" s="45" t="s">
        <v>81</v>
      </c>
      <c r="E97" s="78">
        <v>1216.29</v>
      </c>
      <c r="F97" s="79">
        <v>1165</v>
      </c>
      <c r="G97" s="79">
        <v>945</v>
      </c>
      <c r="H97" s="77">
        <f t="shared" si="18"/>
        <v>77.69528648595319</v>
      </c>
      <c r="I97" s="77">
        <f t="shared" si="19"/>
        <v>81.115879828326172</v>
      </c>
    </row>
    <row r="98" spans="1:10" ht="25.5" x14ac:dyDescent="0.25">
      <c r="A98" s="60">
        <v>3214</v>
      </c>
      <c r="B98" s="61"/>
      <c r="C98" s="62"/>
      <c r="D98" s="59" t="s">
        <v>82</v>
      </c>
      <c r="E98" s="78">
        <v>3559.41</v>
      </c>
      <c r="F98" s="79">
        <v>2900</v>
      </c>
      <c r="G98" s="79">
        <v>4716.07</v>
      </c>
      <c r="H98" s="77">
        <f t="shared" si="18"/>
        <v>132.49583498388776</v>
      </c>
      <c r="I98" s="77">
        <f t="shared" si="19"/>
        <v>162.62310344827586</v>
      </c>
    </row>
    <row r="99" spans="1:10" ht="25.5" x14ac:dyDescent="0.25">
      <c r="A99" s="60">
        <v>3221</v>
      </c>
      <c r="B99" s="61"/>
      <c r="C99" s="62"/>
      <c r="D99" s="59" t="s">
        <v>104</v>
      </c>
      <c r="E99" s="78">
        <v>9446.36</v>
      </c>
      <c r="F99" s="79">
        <v>10180</v>
      </c>
      <c r="G99" s="79">
        <v>8548.01</v>
      </c>
      <c r="H99" s="77">
        <f t="shared" si="18"/>
        <v>90.489987677793351</v>
      </c>
      <c r="I99" s="77">
        <f t="shared" si="19"/>
        <v>83.968664047151279</v>
      </c>
    </row>
    <row r="100" spans="1:10" x14ac:dyDescent="0.25">
      <c r="A100" s="68">
        <v>3222</v>
      </c>
      <c r="B100" s="69"/>
      <c r="C100" s="70"/>
      <c r="D100" s="71" t="s">
        <v>84</v>
      </c>
      <c r="E100" s="78"/>
      <c r="F100" s="79">
        <v>0</v>
      </c>
      <c r="G100" s="79">
        <v>0</v>
      </c>
      <c r="H100" s="77"/>
      <c r="I100" s="77">
        <v>0</v>
      </c>
    </row>
    <row r="101" spans="1:10" x14ac:dyDescent="0.25">
      <c r="A101" s="60">
        <v>3223</v>
      </c>
      <c r="B101" s="61"/>
      <c r="C101" s="62"/>
      <c r="D101" s="59" t="s">
        <v>85</v>
      </c>
      <c r="E101" s="78">
        <v>19132.939999999999</v>
      </c>
      <c r="F101" s="79">
        <v>18900</v>
      </c>
      <c r="G101" s="79">
        <v>21940.1</v>
      </c>
      <c r="H101" s="77">
        <f t="shared" si="18"/>
        <v>114.67186956108158</v>
      </c>
      <c r="I101" s="77">
        <f t="shared" si="19"/>
        <v>116.08518518518518</v>
      </c>
    </row>
    <row r="102" spans="1:10" ht="25.5" x14ac:dyDescent="0.25">
      <c r="A102" s="60">
        <v>3224</v>
      </c>
      <c r="B102" s="61"/>
      <c r="C102" s="62"/>
      <c r="D102" s="59" t="s">
        <v>105</v>
      </c>
      <c r="E102" s="78">
        <v>1951.53</v>
      </c>
      <c r="F102" s="79">
        <v>2500</v>
      </c>
      <c r="G102" s="79">
        <v>1517.95</v>
      </c>
      <c r="H102" s="77">
        <f t="shared" si="18"/>
        <v>77.782560350084296</v>
      </c>
      <c r="I102" s="77">
        <f t="shared" si="19"/>
        <v>60.718000000000004</v>
      </c>
    </row>
    <row r="103" spans="1:10" x14ac:dyDescent="0.25">
      <c r="A103" s="68">
        <v>3225</v>
      </c>
      <c r="B103" s="69"/>
      <c r="C103" s="70"/>
      <c r="D103" s="71" t="s">
        <v>119</v>
      </c>
      <c r="E103" s="78">
        <v>5824.2</v>
      </c>
      <c r="F103" s="79">
        <v>6603</v>
      </c>
      <c r="G103" s="79">
        <v>3335.51</v>
      </c>
      <c r="H103" s="77">
        <f t="shared" si="18"/>
        <v>57.269839634627942</v>
      </c>
      <c r="I103" s="77">
        <f t="shared" si="19"/>
        <v>50.515068908072095</v>
      </c>
    </row>
    <row r="104" spans="1:10" x14ac:dyDescent="0.25">
      <c r="A104" s="60">
        <v>3227</v>
      </c>
      <c r="B104" s="61"/>
      <c r="C104" s="62"/>
      <c r="D104" s="59" t="s">
        <v>87</v>
      </c>
      <c r="E104" s="78">
        <v>643.99</v>
      </c>
      <c r="F104" s="79">
        <v>650</v>
      </c>
      <c r="G104" s="79">
        <v>523.41</v>
      </c>
      <c r="H104" s="77">
        <f t="shared" si="18"/>
        <v>81.276106771844283</v>
      </c>
      <c r="I104" s="77">
        <f t="shared" si="19"/>
        <v>80.524615384615387</v>
      </c>
    </row>
    <row r="105" spans="1:10" x14ac:dyDescent="0.25">
      <c r="A105" s="60">
        <v>3231</v>
      </c>
      <c r="B105" s="61"/>
      <c r="C105" s="62"/>
      <c r="D105" s="59" t="s">
        <v>88</v>
      </c>
      <c r="E105" s="78">
        <v>3507.27</v>
      </c>
      <c r="F105" s="79">
        <v>3380</v>
      </c>
      <c r="G105" s="79">
        <v>3157.9</v>
      </c>
      <c r="H105" s="77">
        <f t="shared" si="18"/>
        <v>90.03869106170896</v>
      </c>
      <c r="I105" s="77">
        <f t="shared" si="19"/>
        <v>93.428994082840248</v>
      </c>
    </row>
    <row r="106" spans="1:10" ht="25.5" x14ac:dyDescent="0.25">
      <c r="A106" s="60">
        <v>3232</v>
      </c>
      <c r="B106" s="61"/>
      <c r="C106" s="62"/>
      <c r="D106" s="59" t="s">
        <v>106</v>
      </c>
      <c r="E106" s="78">
        <v>1661.42</v>
      </c>
      <c r="F106" s="79">
        <v>1480</v>
      </c>
      <c r="G106" s="79">
        <v>2614.0500000000002</v>
      </c>
      <c r="H106" s="77">
        <f t="shared" si="18"/>
        <v>157.33830097145815</v>
      </c>
      <c r="I106" s="77">
        <f t="shared" si="19"/>
        <v>176.625</v>
      </c>
    </row>
    <row r="107" spans="1:10" x14ac:dyDescent="0.25">
      <c r="A107" s="60">
        <v>3233</v>
      </c>
      <c r="B107" s="61"/>
      <c r="C107" s="62"/>
      <c r="D107" s="59" t="s">
        <v>90</v>
      </c>
      <c r="E107" s="78">
        <v>5177.6899999999996</v>
      </c>
      <c r="F107" s="79">
        <v>4900</v>
      </c>
      <c r="G107" s="79">
        <v>5518.94</v>
      </c>
      <c r="H107" s="77">
        <f t="shared" si="18"/>
        <v>106.59077696810739</v>
      </c>
      <c r="I107" s="77">
        <f t="shared" si="19"/>
        <v>112.63142857142856</v>
      </c>
    </row>
    <row r="108" spans="1:10" x14ac:dyDescent="0.25">
      <c r="A108" s="60">
        <v>3234</v>
      </c>
      <c r="B108" s="61"/>
      <c r="C108" s="62"/>
      <c r="D108" s="59" t="s">
        <v>91</v>
      </c>
      <c r="E108" s="78">
        <v>2553.4899999999998</v>
      </c>
      <c r="F108" s="79">
        <v>1475</v>
      </c>
      <c r="G108" s="79">
        <v>3460.66</v>
      </c>
      <c r="H108" s="77">
        <f>(G108/E108)*100</f>
        <v>135.52667134000919</v>
      </c>
      <c r="I108" s="77">
        <f t="shared" si="19"/>
        <v>234.62101694915253</v>
      </c>
    </row>
    <row r="109" spans="1:10" x14ac:dyDescent="0.25">
      <c r="A109" s="60">
        <v>3236</v>
      </c>
      <c r="B109" s="61"/>
      <c r="C109" s="62"/>
      <c r="D109" s="59" t="s">
        <v>92</v>
      </c>
      <c r="E109" s="78">
        <v>2264.5</v>
      </c>
      <c r="F109" s="79">
        <v>3820</v>
      </c>
      <c r="G109" s="79">
        <v>6006.33</v>
      </c>
      <c r="H109" s="77">
        <f t="shared" si="18"/>
        <v>265.23868403621111</v>
      </c>
      <c r="I109" s="77">
        <f t="shared" si="19"/>
        <v>157.23376963350785</v>
      </c>
    </row>
    <row r="110" spans="1:10" x14ac:dyDescent="0.25">
      <c r="A110" s="60">
        <v>3237</v>
      </c>
      <c r="B110" s="61"/>
      <c r="C110" s="62"/>
      <c r="D110" s="59" t="s">
        <v>107</v>
      </c>
      <c r="E110" s="78">
        <v>5715.81</v>
      </c>
      <c r="F110" s="79">
        <v>6000</v>
      </c>
      <c r="G110" s="79">
        <v>5987.74</v>
      </c>
      <c r="H110" s="77">
        <f t="shared" si="18"/>
        <v>104.75750593529173</v>
      </c>
      <c r="I110" s="77">
        <f t="shared" si="19"/>
        <v>99.795666666666662</v>
      </c>
      <c r="J110" s="54"/>
    </row>
    <row r="111" spans="1:10" x14ac:dyDescent="0.25">
      <c r="A111" s="60">
        <v>3238</v>
      </c>
      <c r="B111" s="61"/>
      <c r="C111" s="62"/>
      <c r="D111" s="59" t="s">
        <v>94</v>
      </c>
      <c r="E111" s="78">
        <v>3995.5</v>
      </c>
      <c r="F111" s="79">
        <v>3000</v>
      </c>
      <c r="G111" s="79">
        <v>2618.0300000000002</v>
      </c>
      <c r="H111" s="77">
        <f t="shared" si="18"/>
        <v>65.524465023151052</v>
      </c>
      <c r="I111" s="77">
        <f>(G111/F111)*100</f>
        <v>87.26766666666667</v>
      </c>
    </row>
    <row r="112" spans="1:10" x14ac:dyDescent="0.25">
      <c r="A112" s="60">
        <v>3239</v>
      </c>
      <c r="B112" s="61"/>
      <c r="C112" s="62"/>
      <c r="D112" s="59" t="s">
        <v>95</v>
      </c>
      <c r="E112" s="78">
        <v>369.57</v>
      </c>
      <c r="F112" s="79">
        <v>0</v>
      </c>
      <c r="G112" s="79">
        <v>592.42999999999995</v>
      </c>
      <c r="H112" s="77">
        <f t="shared" si="18"/>
        <v>160.30251373217521</v>
      </c>
      <c r="I112" s="77">
        <v>0</v>
      </c>
    </row>
    <row r="113" spans="1:9" x14ac:dyDescent="0.25">
      <c r="A113" s="60">
        <v>3294</v>
      </c>
      <c r="B113" s="61"/>
      <c r="C113" s="62"/>
      <c r="D113" s="59" t="s">
        <v>96</v>
      </c>
      <c r="E113" s="78">
        <v>217.9</v>
      </c>
      <c r="F113" s="79">
        <v>250</v>
      </c>
      <c r="G113" s="79">
        <v>213.09</v>
      </c>
      <c r="H113" s="77">
        <f t="shared" si="18"/>
        <v>97.792565396971085</v>
      </c>
      <c r="I113" s="77">
        <f t="shared" si="19"/>
        <v>85.236000000000004</v>
      </c>
    </row>
    <row r="114" spans="1:9" ht="25.5" x14ac:dyDescent="0.25">
      <c r="A114" s="60">
        <v>3299</v>
      </c>
      <c r="B114" s="61"/>
      <c r="C114" s="62"/>
      <c r="D114" s="59" t="s">
        <v>98</v>
      </c>
      <c r="E114" s="78">
        <v>562.87</v>
      </c>
      <c r="F114" s="79">
        <v>500</v>
      </c>
      <c r="G114" s="79">
        <v>798.75</v>
      </c>
      <c r="H114" s="77">
        <f t="shared" si="18"/>
        <v>141.90665695453657</v>
      </c>
      <c r="I114" s="77">
        <f t="shared" si="19"/>
        <v>159.75</v>
      </c>
    </row>
    <row r="115" spans="1:9" ht="15" customHeight="1" x14ac:dyDescent="0.25">
      <c r="A115" s="60">
        <v>3431</v>
      </c>
      <c r="B115" s="61"/>
      <c r="C115" s="62"/>
      <c r="D115" s="59" t="s">
        <v>99</v>
      </c>
      <c r="E115" s="78">
        <v>500</v>
      </c>
      <c r="F115" s="79">
        <v>500</v>
      </c>
      <c r="G115" s="79">
        <v>410.28</v>
      </c>
      <c r="H115" s="77">
        <f t="shared" si="18"/>
        <v>82.055999999999997</v>
      </c>
      <c r="I115" s="77">
        <f t="shared" si="19"/>
        <v>82.055999999999997</v>
      </c>
    </row>
    <row r="118" spans="1:9" x14ac:dyDescent="0.25">
      <c r="A118" s="180" t="s">
        <v>38</v>
      </c>
      <c r="B118" s="181"/>
      <c r="C118" s="182"/>
      <c r="D118" s="138" t="s">
        <v>39</v>
      </c>
      <c r="E118" s="138" t="s">
        <v>108</v>
      </c>
      <c r="F118" s="95" t="s">
        <v>122</v>
      </c>
      <c r="G118" s="95" t="s">
        <v>123</v>
      </c>
      <c r="H118" s="95" t="s">
        <v>109</v>
      </c>
      <c r="I118" s="95" t="s">
        <v>110</v>
      </c>
    </row>
    <row r="119" spans="1:9" ht="25.5" x14ac:dyDescent="0.25">
      <c r="A119" s="183" t="s">
        <v>156</v>
      </c>
      <c r="B119" s="184"/>
      <c r="C119" s="185"/>
      <c r="D119" s="134" t="s">
        <v>155</v>
      </c>
      <c r="E119" s="77">
        <f>E123</f>
        <v>23291</v>
      </c>
      <c r="F119" s="77">
        <f>F123</f>
        <v>23291</v>
      </c>
      <c r="G119" s="77">
        <f>SUM(G124,G138)</f>
        <v>22335.87</v>
      </c>
      <c r="H119" s="77">
        <f>G119/E119*100</f>
        <v>95.899145592718213</v>
      </c>
      <c r="I119" s="77">
        <f>G119/F119*100</f>
        <v>95.899145592718213</v>
      </c>
    </row>
    <row r="120" spans="1:9" x14ac:dyDescent="0.25">
      <c r="A120" s="183" t="s">
        <v>139</v>
      </c>
      <c r="B120" s="184"/>
      <c r="C120" s="185"/>
      <c r="D120" s="134" t="s">
        <v>45</v>
      </c>
      <c r="E120" s="78"/>
      <c r="F120" s="79"/>
      <c r="G120" s="79"/>
      <c r="H120" s="77"/>
      <c r="I120" s="77"/>
    </row>
    <row r="121" spans="1:9" x14ac:dyDescent="0.25">
      <c r="A121" s="186" t="s">
        <v>69</v>
      </c>
      <c r="B121" s="187"/>
      <c r="C121" s="188"/>
      <c r="D121" s="140" t="s">
        <v>46</v>
      </c>
      <c r="E121" s="78"/>
      <c r="F121" s="79"/>
      <c r="G121" s="79"/>
      <c r="H121" s="77"/>
      <c r="I121" s="77"/>
    </row>
    <row r="122" spans="1:9" x14ac:dyDescent="0.25">
      <c r="A122" s="149">
        <v>3</v>
      </c>
      <c r="B122" s="139"/>
      <c r="C122" s="140"/>
      <c r="D122" s="142" t="s">
        <v>22</v>
      </c>
      <c r="E122" s="78"/>
      <c r="F122" s="79"/>
      <c r="G122" s="79"/>
      <c r="H122" s="77"/>
      <c r="I122" s="77"/>
    </row>
    <row r="123" spans="1:9" ht="25.5" x14ac:dyDescent="0.25">
      <c r="A123" s="135">
        <v>37</v>
      </c>
      <c r="B123" s="136"/>
      <c r="C123" s="137"/>
      <c r="D123" s="142" t="s">
        <v>152</v>
      </c>
      <c r="E123" s="78">
        <v>23291</v>
      </c>
      <c r="F123" s="79">
        <v>23291</v>
      </c>
      <c r="G123" s="79">
        <f>SUM(G124)</f>
        <v>22335.87</v>
      </c>
      <c r="H123" s="77">
        <f t="shared" ref="H123" si="20">G123/E123*100</f>
        <v>95.899145592718213</v>
      </c>
      <c r="I123" s="77">
        <f t="shared" ref="I123" si="21">G123/F123*100</f>
        <v>95.899145592718213</v>
      </c>
    </row>
    <row r="124" spans="1:9" ht="25.5" x14ac:dyDescent="0.25">
      <c r="A124" s="135">
        <v>372</v>
      </c>
      <c r="B124" s="136"/>
      <c r="C124" s="137"/>
      <c r="D124" s="142" t="s">
        <v>153</v>
      </c>
      <c r="E124" s="78"/>
      <c r="F124" s="79"/>
      <c r="G124" s="79">
        <f>SUM(G125)</f>
        <v>22335.87</v>
      </c>
      <c r="H124" s="77"/>
      <c r="I124" s="77"/>
    </row>
    <row r="125" spans="1:9" x14ac:dyDescent="0.25">
      <c r="A125" s="135">
        <v>3722</v>
      </c>
      <c r="B125" s="136"/>
      <c r="C125" s="137"/>
      <c r="D125" s="142" t="s">
        <v>154</v>
      </c>
      <c r="E125" s="78"/>
      <c r="F125" s="79"/>
      <c r="G125" s="79">
        <v>22335.87</v>
      </c>
      <c r="H125" s="77"/>
      <c r="I125" s="77"/>
    </row>
  </sheetData>
  <mergeCells count="52">
    <mergeCell ref="A119:C119"/>
    <mergeCell ref="A120:C120"/>
    <mergeCell ref="A121:C121"/>
    <mergeCell ref="A118:C118"/>
    <mergeCell ref="A66:C66"/>
    <mergeCell ref="A67:C67"/>
    <mergeCell ref="A68:C68"/>
    <mergeCell ref="A94:C94"/>
    <mergeCell ref="A96:C96"/>
    <mergeCell ref="A69:C69"/>
    <mergeCell ref="A89:C89"/>
    <mergeCell ref="A90:C90"/>
    <mergeCell ref="A91:C91"/>
    <mergeCell ref="A92:C92"/>
    <mergeCell ref="A93:C93"/>
    <mergeCell ref="A64:C64"/>
    <mergeCell ref="A65:C65"/>
    <mergeCell ref="A51:C51"/>
    <mergeCell ref="A44:C44"/>
    <mergeCell ref="A45:C45"/>
    <mergeCell ref="A46:C46"/>
    <mergeCell ref="A47:C47"/>
    <mergeCell ref="A48:C48"/>
    <mergeCell ref="A49:C49"/>
    <mergeCell ref="A56:C56"/>
    <mergeCell ref="A57:C57"/>
    <mergeCell ref="A58:C58"/>
    <mergeCell ref="A59:C59"/>
    <mergeCell ref="A60:C60"/>
    <mergeCell ref="A19:C19"/>
    <mergeCell ref="A20:C20"/>
    <mergeCell ref="A21:C21"/>
    <mergeCell ref="A22:C22"/>
    <mergeCell ref="A34:C34"/>
    <mergeCell ref="A35:C35"/>
    <mergeCell ref="A36:C36"/>
    <mergeCell ref="A38:C38"/>
    <mergeCell ref="A23:C23"/>
    <mergeCell ref="A24:C24"/>
    <mergeCell ref="A31:C31"/>
    <mergeCell ref="A32:C32"/>
    <mergeCell ref="A33:C33"/>
    <mergeCell ref="A18:C18"/>
    <mergeCell ref="A6:C6"/>
    <mergeCell ref="A7:C7"/>
    <mergeCell ref="A1:I1"/>
    <mergeCell ref="A3:I3"/>
    <mergeCell ref="A5:C5"/>
    <mergeCell ref="A8:C8"/>
    <mergeCell ref="A9:C9"/>
    <mergeCell ref="A13:C13"/>
    <mergeCell ref="A10:C10"/>
  </mergeCells>
  <pageMargins left="0.7" right="0.7" top="0.75" bottom="0.75" header="0.3" footer="0.3"/>
  <pageSetup paperSize="9" scale="70" fitToWidth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 </vt:lpstr>
      <vt:lpstr> Račun prihoda i rashoda</vt:lpstr>
      <vt:lpstr>Rashodi prema funkcijskoj kl</vt:lpstr>
      <vt:lpstr>Račun financiranja</vt:lpstr>
      <vt:lpstr>POSEBNI DIO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Admin</cp:lastModifiedBy>
  <cp:lastPrinted>2025-02-14T07:27:44Z</cp:lastPrinted>
  <dcterms:created xsi:type="dcterms:W3CDTF">2022-08-12T12:51:27Z</dcterms:created>
  <dcterms:modified xsi:type="dcterms:W3CDTF">2025-03-21T10:42:01Z</dcterms:modified>
</cp:coreProperties>
</file>