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FINANCIJSKOG PLANA 2025 30 06\"/>
    </mc:Choice>
  </mc:AlternateContent>
  <xr:revisionPtr revIDLastSave="0" documentId="13_ncr:1_{EEC8F329-4D5B-41E9-A9B5-A9589D1DAFA2}" xr6:coauthVersionLast="37" xr6:coauthVersionMax="37" xr10:uidLastSave="{00000000-0000-0000-0000-000000000000}"/>
  <bookViews>
    <workbookView xWindow="0" yWindow="0" windowWidth="28800" windowHeight="12225" activeTab="2" xr2:uid="{00000000-000D-0000-FFFF-FFFF00000000}"/>
  </bookViews>
  <sheets>
    <sheet name="SAŽETAK " sheetId="8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8" l="1"/>
  <c r="J14" i="8"/>
  <c r="I12" i="8"/>
  <c r="F9" i="8"/>
  <c r="H72" i="7"/>
  <c r="I72" i="7"/>
  <c r="H74" i="7"/>
  <c r="I74" i="7"/>
  <c r="H80" i="7"/>
  <c r="I80" i="7"/>
  <c r="I85" i="7"/>
  <c r="I66" i="7"/>
  <c r="H66" i="7"/>
  <c r="E66" i="7"/>
  <c r="H62" i="7"/>
  <c r="I62" i="7"/>
  <c r="H51" i="7"/>
  <c r="I51" i="7"/>
  <c r="H52" i="7"/>
  <c r="I52" i="7"/>
  <c r="H53" i="7"/>
  <c r="I53" i="7"/>
  <c r="I38" i="7"/>
  <c r="H26" i="7"/>
  <c r="I26" i="7"/>
  <c r="H13" i="7"/>
  <c r="I13" i="7"/>
  <c r="H14" i="7"/>
  <c r="I14" i="7"/>
  <c r="H15" i="7"/>
  <c r="I15" i="7"/>
  <c r="H281" i="3"/>
  <c r="H275" i="3"/>
  <c r="I275" i="3"/>
  <c r="H277" i="3"/>
  <c r="I277" i="3"/>
  <c r="H251" i="3"/>
  <c r="I251" i="3"/>
  <c r="H227" i="3"/>
  <c r="I227" i="3"/>
  <c r="H231" i="3"/>
  <c r="I231" i="3"/>
  <c r="H235" i="3"/>
  <c r="I235" i="3"/>
  <c r="H223" i="3"/>
  <c r="I223" i="3"/>
  <c r="H224" i="3"/>
  <c r="I224" i="3"/>
  <c r="I211" i="3"/>
  <c r="H211" i="3"/>
  <c r="I203" i="3"/>
  <c r="H203" i="3"/>
  <c r="I187" i="3"/>
  <c r="H187" i="3"/>
  <c r="I179" i="3"/>
  <c r="H179" i="3"/>
  <c r="I171" i="3"/>
  <c r="H171" i="3"/>
  <c r="I163" i="3"/>
  <c r="H163" i="3"/>
  <c r="I159" i="3"/>
  <c r="I155" i="3"/>
  <c r="H155" i="3"/>
  <c r="I147" i="3"/>
  <c r="H147" i="3"/>
  <c r="H141" i="3"/>
  <c r="I131" i="3"/>
  <c r="H131" i="3"/>
  <c r="I123" i="3"/>
  <c r="H123" i="3"/>
  <c r="I115" i="3"/>
  <c r="H115" i="3"/>
  <c r="I99" i="3"/>
  <c r="H99" i="3"/>
  <c r="I96" i="3"/>
  <c r="H96" i="3"/>
  <c r="H79" i="3"/>
  <c r="I79" i="3"/>
  <c r="I74" i="3"/>
  <c r="H74" i="3"/>
  <c r="H63" i="3"/>
  <c r="I63" i="3"/>
  <c r="H48" i="3"/>
  <c r="H42" i="3"/>
  <c r="H41" i="3"/>
  <c r="I29" i="3"/>
  <c r="H29" i="3"/>
  <c r="H30" i="3"/>
  <c r="F80" i="7"/>
  <c r="F10" i="7"/>
  <c r="F53" i="7"/>
  <c r="F52" i="7"/>
  <c r="F51" i="7"/>
  <c r="F50" i="7"/>
  <c r="F41" i="7"/>
  <c r="F39" i="7"/>
  <c r="F38" i="7"/>
  <c r="F37" i="7"/>
  <c r="F108" i="3"/>
  <c r="F79" i="3"/>
  <c r="F86" i="3"/>
  <c r="F61" i="3"/>
  <c r="F80" i="3"/>
  <c r="F109" i="3"/>
  <c r="F87" i="3"/>
  <c r="F62" i="3"/>
  <c r="F277" i="3"/>
  <c r="F82" i="3"/>
  <c r="F58" i="3"/>
  <c r="F104" i="3"/>
  <c r="F76" i="3"/>
  <c r="E72" i="7" l="1"/>
  <c r="E80" i="7"/>
  <c r="E53" i="7"/>
  <c r="E51" i="7"/>
  <c r="E52" i="7"/>
  <c r="E50" i="7"/>
  <c r="E10" i="7"/>
  <c r="E80" i="3"/>
  <c r="E109" i="3"/>
  <c r="E87" i="3"/>
  <c r="E62" i="3"/>
  <c r="E277" i="3"/>
  <c r="E104" i="3"/>
  <c r="E58" i="3"/>
  <c r="E82" i="3"/>
  <c r="E76" i="3"/>
  <c r="E29" i="3"/>
  <c r="F11" i="8"/>
  <c r="I11" i="8" s="1"/>
  <c r="E69" i="3"/>
  <c r="G80" i="7" l="1"/>
  <c r="G73" i="7"/>
  <c r="G72" i="7"/>
  <c r="H110" i="7"/>
  <c r="I110" i="7"/>
  <c r="G51" i="7"/>
  <c r="G50" i="7"/>
  <c r="G38" i="7"/>
  <c r="G37" i="7"/>
  <c r="G13" i="7"/>
  <c r="G10" i="7"/>
  <c r="G58" i="3"/>
  <c r="G87" i="3"/>
  <c r="G277" i="3"/>
  <c r="G130" i="3"/>
  <c r="G82" i="3"/>
  <c r="G76" i="3"/>
  <c r="G62" i="3"/>
  <c r="G80" i="3"/>
  <c r="G29" i="3" l="1"/>
  <c r="G47" i="3"/>
  <c r="G30" i="3"/>
  <c r="G13" i="3"/>
  <c r="G207" i="3" l="1"/>
  <c r="F207" i="3"/>
  <c r="E207" i="3"/>
  <c r="H207" i="3" l="1"/>
  <c r="I207" i="3"/>
  <c r="H125" i="7"/>
  <c r="I125" i="7"/>
  <c r="E121" i="7"/>
  <c r="F121" i="7"/>
  <c r="F66" i="7"/>
  <c r="G84" i="7"/>
  <c r="G66" i="7" s="1"/>
  <c r="G36" i="7"/>
  <c r="G121" i="7" l="1"/>
  <c r="G49" i="7"/>
  <c r="F30" i="8"/>
  <c r="I121" i="7" l="1"/>
  <c r="H121" i="7"/>
  <c r="E287" i="3"/>
  <c r="E103" i="3"/>
  <c r="E95" i="3"/>
  <c r="E81" i="3"/>
  <c r="E75" i="3"/>
  <c r="E57" i="3"/>
  <c r="E32" i="3"/>
  <c r="E23" i="3"/>
  <c r="G94" i="7" l="1"/>
  <c r="F94" i="7"/>
  <c r="I104" i="7"/>
  <c r="F57" i="3" l="1"/>
  <c r="G287" i="3"/>
  <c r="F287" i="3"/>
  <c r="I50" i="7" l="1"/>
  <c r="H50" i="7"/>
  <c r="G48" i="7"/>
  <c r="G46" i="7" s="1"/>
  <c r="F49" i="7"/>
  <c r="F48" i="7" s="1"/>
  <c r="E49" i="7"/>
  <c r="E48" i="7" s="1"/>
  <c r="F46" i="7" l="1"/>
  <c r="E46" i="7"/>
  <c r="H49" i="7"/>
  <c r="I49" i="7"/>
  <c r="H48" i="7"/>
  <c r="I48" i="7"/>
  <c r="F17" i="5"/>
  <c r="E17" i="5"/>
  <c r="I113" i="7" l="1"/>
  <c r="I115" i="7"/>
  <c r="I116" i="7"/>
  <c r="I117" i="7"/>
  <c r="I97" i="7"/>
  <c r="I98" i="7"/>
  <c r="I99" i="7"/>
  <c r="I100" i="7"/>
  <c r="I102" i="7"/>
  <c r="I103" i="7"/>
  <c r="I105" i="7"/>
  <c r="I106" i="7"/>
  <c r="I107" i="7"/>
  <c r="I109" i="7"/>
  <c r="I111" i="7"/>
  <c r="I112" i="7"/>
  <c r="I37" i="7"/>
  <c r="I39" i="7"/>
  <c r="I41" i="7"/>
  <c r="I24" i="7"/>
  <c r="I10" i="7"/>
  <c r="I16" i="7"/>
  <c r="H109" i="7"/>
  <c r="H111" i="7"/>
  <c r="H112" i="7"/>
  <c r="H113" i="7"/>
  <c r="H115" i="7"/>
  <c r="H116" i="7"/>
  <c r="H117" i="7"/>
  <c r="H97" i="7"/>
  <c r="H98" i="7"/>
  <c r="H99" i="7"/>
  <c r="H100" i="7"/>
  <c r="H102" i="7"/>
  <c r="H103" i="7"/>
  <c r="H104" i="7"/>
  <c r="H105" i="7"/>
  <c r="H106" i="7"/>
  <c r="H107" i="7"/>
  <c r="H37" i="7"/>
  <c r="H38" i="7"/>
  <c r="H39" i="7"/>
  <c r="H41" i="7"/>
  <c r="H24" i="7"/>
  <c r="H10" i="7"/>
  <c r="H16" i="7"/>
  <c r="I46" i="7" l="1"/>
  <c r="H46" i="7"/>
  <c r="I288" i="3"/>
  <c r="I141" i="3"/>
  <c r="I109" i="3"/>
  <c r="I47" i="3"/>
  <c r="I48" i="3"/>
  <c r="I35" i="3"/>
  <c r="I13" i="3"/>
  <c r="I19" i="3"/>
  <c r="I27" i="3"/>
  <c r="I33" i="3"/>
  <c r="H35" i="3"/>
  <c r="H47" i="3"/>
  <c r="H13" i="3"/>
  <c r="H19" i="3"/>
  <c r="H27" i="3"/>
  <c r="H33" i="3"/>
  <c r="H32" i="3" s="1"/>
  <c r="I311" i="3"/>
  <c r="I261" i="3"/>
  <c r="I104" i="3"/>
  <c r="I82" i="3"/>
  <c r="I76" i="3"/>
  <c r="G75" i="3"/>
  <c r="I61" i="3"/>
  <c r="I58" i="3"/>
  <c r="G61" i="7"/>
  <c r="I80" i="3" l="1"/>
  <c r="I108" i="3"/>
  <c r="I281" i="3"/>
  <c r="I87" i="3"/>
  <c r="H311" i="3"/>
  <c r="I62" i="3"/>
  <c r="I86" i="3"/>
  <c r="G9" i="7"/>
  <c r="G23" i="7"/>
  <c r="G88" i="3" l="1"/>
  <c r="F88" i="3"/>
  <c r="H288" i="3"/>
  <c r="G283" i="3"/>
  <c r="F283" i="3"/>
  <c r="G263" i="3"/>
  <c r="F263" i="3"/>
  <c r="H261" i="3"/>
  <c r="G159" i="3"/>
  <c r="F159" i="3"/>
  <c r="H138" i="3"/>
  <c r="H109" i="3"/>
  <c r="H108" i="3"/>
  <c r="H104" i="3"/>
  <c r="H87" i="3"/>
  <c r="H86" i="3"/>
  <c r="H82" i="3"/>
  <c r="E255" i="3"/>
  <c r="E175" i="3"/>
  <c r="H80" i="3"/>
  <c r="G69" i="3"/>
  <c r="F69" i="3"/>
  <c r="G63" i="3"/>
  <c r="F63" i="3"/>
  <c r="H76" i="3"/>
  <c r="H62" i="3"/>
  <c r="H61" i="3"/>
  <c r="H58" i="3"/>
  <c r="E151" i="3" l="1"/>
  <c r="E199" i="3"/>
  <c r="E111" i="3"/>
  <c r="E88" i="3"/>
  <c r="E183" i="3"/>
  <c r="E119" i="3"/>
  <c r="E191" i="3"/>
  <c r="E159" i="3"/>
  <c r="H159" i="3" s="1"/>
  <c r="E263" i="3"/>
  <c r="E239" i="3"/>
  <c r="E167" i="3"/>
  <c r="E143" i="3"/>
  <c r="E247" i="3"/>
  <c r="E231" i="3"/>
  <c r="E215" i="3"/>
  <c r="E283" i="3"/>
  <c r="H75" i="3"/>
  <c r="E223" i="3"/>
  <c r="E271" i="3"/>
  <c r="E127" i="3"/>
  <c r="E135" i="3"/>
  <c r="E63" i="3"/>
  <c r="E94" i="7"/>
  <c r="H94" i="7" s="1"/>
  <c r="E56" i="3" l="1"/>
  <c r="E36" i="7"/>
  <c r="E9" i="7" l="1"/>
  <c r="H9" i="7" s="1"/>
  <c r="G303" i="3" l="1"/>
  <c r="F303" i="3"/>
  <c r="E303" i="3"/>
  <c r="G298" i="3"/>
  <c r="F298" i="3"/>
  <c r="E298" i="3"/>
  <c r="F291" i="3"/>
  <c r="G291" i="3"/>
  <c r="E291" i="3"/>
  <c r="E11" i="3"/>
  <c r="E17" i="3"/>
  <c r="E43" i="3"/>
  <c r="F41" i="3"/>
  <c r="G41" i="3"/>
  <c r="E41" i="3"/>
  <c r="B16" i="5" l="1"/>
  <c r="C16" i="5"/>
  <c r="C10" i="5" s="1"/>
  <c r="D16" i="5"/>
  <c r="D10" i="5" s="1"/>
  <c r="F271" i="3"/>
  <c r="F255" i="3"/>
  <c r="F247" i="3"/>
  <c r="F239" i="3"/>
  <c r="F231" i="3"/>
  <c r="F223" i="3"/>
  <c r="F215" i="3"/>
  <c r="F199" i="3"/>
  <c r="F191" i="3"/>
  <c r="F183" i="3"/>
  <c r="F175" i="3"/>
  <c r="F167" i="3"/>
  <c r="F151" i="3"/>
  <c r="F143" i="3"/>
  <c r="F135" i="3"/>
  <c r="F127" i="3"/>
  <c r="F119" i="3"/>
  <c r="F111" i="3"/>
  <c r="F103" i="3"/>
  <c r="F81" i="3"/>
  <c r="F75" i="3"/>
  <c r="F23" i="3"/>
  <c r="G23" i="3"/>
  <c r="F11" i="3"/>
  <c r="G11" i="3"/>
  <c r="F17" i="3"/>
  <c r="F43" i="3"/>
  <c r="H11" i="3" l="1"/>
  <c r="I11" i="3"/>
  <c r="H23" i="3"/>
  <c r="I23" i="3"/>
  <c r="I75" i="3"/>
  <c r="F16" i="5"/>
  <c r="F10" i="5"/>
  <c r="B10" i="5"/>
  <c r="E10" i="5" s="1"/>
  <c r="E16" i="5"/>
  <c r="F293" i="3"/>
  <c r="G293" i="3"/>
  <c r="E293" i="3"/>
  <c r="I94" i="7"/>
  <c r="F36" i="7" l="1"/>
  <c r="I36" i="7" l="1"/>
  <c r="H36" i="7"/>
  <c r="F23" i="7"/>
  <c r="I23" i="7" s="1"/>
  <c r="E23" i="7"/>
  <c r="H23" i="7" s="1"/>
  <c r="F9" i="7"/>
  <c r="I9" i="7" s="1"/>
  <c r="G271" i="3"/>
  <c r="G255" i="3"/>
  <c r="G247" i="3"/>
  <c r="G239" i="3"/>
  <c r="G231" i="3"/>
  <c r="G223" i="3"/>
  <c r="G215" i="3"/>
  <c r="G199" i="3"/>
  <c r="G191" i="3"/>
  <c r="G183" i="3"/>
  <c r="E279" i="3"/>
  <c r="F279" i="3"/>
  <c r="G279" i="3"/>
  <c r="G175" i="3"/>
  <c r="G167" i="3"/>
  <c r="G151" i="3"/>
  <c r="G143" i="3"/>
  <c r="G135" i="3"/>
  <c r="G127" i="3"/>
  <c r="G119" i="3"/>
  <c r="G111" i="3"/>
  <c r="G103" i="3"/>
  <c r="G81" i="3"/>
  <c r="G43" i="3"/>
  <c r="H183" i="3" l="1"/>
  <c r="I183" i="3"/>
  <c r="I255" i="3"/>
  <c r="H255" i="3"/>
  <c r="H103" i="3"/>
  <c r="I103" i="3"/>
  <c r="H271" i="3"/>
  <c r="I271" i="3"/>
  <c r="H81" i="3"/>
  <c r="I81" i="3"/>
  <c r="I199" i="3"/>
  <c r="H199" i="3"/>
  <c r="H247" i="3"/>
  <c r="I247" i="3"/>
  <c r="H215" i="3"/>
  <c r="I215" i="3"/>
  <c r="H111" i="3"/>
  <c r="I111" i="3"/>
  <c r="I167" i="3"/>
  <c r="H167" i="3"/>
  <c r="H287" i="3"/>
  <c r="I287" i="3"/>
  <c r="I151" i="3"/>
  <c r="H151" i="3"/>
  <c r="I175" i="3"/>
  <c r="H175" i="3"/>
  <c r="I119" i="3"/>
  <c r="H119" i="3"/>
  <c r="I127" i="3"/>
  <c r="H127" i="3"/>
  <c r="I135" i="3"/>
  <c r="H135" i="3"/>
  <c r="H279" i="3"/>
  <c r="I279" i="3"/>
  <c r="I143" i="3"/>
  <c r="H143" i="3"/>
  <c r="H239" i="3"/>
  <c r="I239" i="3"/>
  <c r="G17" i="3"/>
  <c r="H17" i="3" l="1"/>
  <c r="I17" i="3"/>
  <c r="E60" i="7" l="1"/>
  <c r="E58" i="7" s="1"/>
  <c r="H61" i="7"/>
  <c r="E34" i="3" l="1"/>
  <c r="E10" i="3" s="1"/>
  <c r="F34" i="3"/>
  <c r="E37" i="3"/>
  <c r="E45" i="3"/>
  <c r="G95" i="3"/>
  <c r="F95" i="3"/>
  <c r="F56" i="3" s="1"/>
  <c r="E308" i="3"/>
  <c r="E290" i="3" s="1"/>
  <c r="E314" i="3" s="1"/>
  <c r="E93" i="7"/>
  <c r="E91" i="7" s="1"/>
  <c r="E8" i="7"/>
  <c r="E6" i="7" s="1"/>
  <c r="E35" i="7"/>
  <c r="E33" i="7" s="1"/>
  <c r="E22" i="7"/>
  <c r="E20" i="7" s="1"/>
  <c r="H95" i="3" l="1"/>
  <c r="I95" i="3"/>
  <c r="F8" i="8"/>
  <c r="F93" i="7"/>
  <c r="F91" i="7" s="1"/>
  <c r="F22" i="7"/>
  <c r="F20" i="7" s="1"/>
  <c r="F14" i="8" l="1"/>
  <c r="I14" i="8" s="1"/>
  <c r="F60" i="7"/>
  <c r="F58" i="7" s="1"/>
  <c r="I61" i="7"/>
  <c r="F35" i="7"/>
  <c r="F33" i="7" s="1"/>
  <c r="F8" i="7"/>
  <c r="F6" i="7" s="1"/>
  <c r="F308" i="3"/>
  <c r="F290" i="3" l="1"/>
  <c r="F314" i="3" s="1"/>
  <c r="F45" i="3"/>
  <c r="F37" i="3"/>
  <c r="F32" i="3"/>
  <c r="G11" i="8" l="1"/>
  <c r="F10" i="3"/>
  <c r="G8" i="8" s="1"/>
  <c r="G8" i="7"/>
  <c r="G6" i="7" s="1"/>
  <c r="G93" i="7"/>
  <c r="G91" i="7" s="1"/>
  <c r="H8" i="7" l="1"/>
  <c r="H6" i="7" s="1"/>
  <c r="I8" i="7"/>
  <c r="I6" i="7" s="1"/>
  <c r="H93" i="7"/>
  <c r="H91" i="7" s="1"/>
  <c r="I93" i="7"/>
  <c r="I91" i="7" s="1"/>
  <c r="G14" i="8"/>
  <c r="G60" i="7"/>
  <c r="G58" i="7" s="1"/>
  <c r="G35" i="7"/>
  <c r="G33" i="7" s="1"/>
  <c r="G22" i="7"/>
  <c r="G20" i="7" s="1"/>
  <c r="G57" i="3"/>
  <c r="G56" i="3" s="1"/>
  <c r="G314" i="3" s="1"/>
  <c r="G308" i="3"/>
  <c r="H57" i="3" l="1"/>
  <c r="I57" i="3"/>
  <c r="G290" i="3"/>
  <c r="H308" i="3"/>
  <c r="I308" i="3"/>
  <c r="H22" i="7"/>
  <c r="H20" i="7" s="1"/>
  <c r="I22" i="7"/>
  <c r="I20" i="7" s="1"/>
  <c r="I35" i="7"/>
  <c r="I33" i="7" s="1"/>
  <c r="H35" i="7"/>
  <c r="H33" i="7" s="1"/>
  <c r="H60" i="7"/>
  <c r="H58" i="7" s="1"/>
  <c r="I60" i="7"/>
  <c r="I58" i="7" s="1"/>
  <c r="G45" i="3"/>
  <c r="G37" i="3"/>
  <c r="G34" i="3"/>
  <c r="G32" i="3"/>
  <c r="I32" i="3" l="1"/>
  <c r="G10" i="3"/>
  <c r="I45" i="3"/>
  <c r="H45" i="3"/>
  <c r="H290" i="3"/>
  <c r="I290" i="3"/>
  <c r="H56" i="3"/>
  <c r="I56" i="3"/>
  <c r="J12" i="8" s="1"/>
  <c r="J11" i="8" s="1"/>
  <c r="H34" i="3"/>
  <c r="I34" i="3"/>
  <c r="H11" i="8" l="1"/>
  <c r="H8" i="8"/>
  <c r="H10" i="3"/>
  <c r="I9" i="8" s="1"/>
  <c r="I8" i="8" s="1"/>
  <c r="I10" i="3"/>
  <c r="J9" i="8" s="1"/>
  <c r="J8" i="8" s="1"/>
  <c r="H14" i="8" l="1"/>
  <c r="H27" i="8" s="1"/>
  <c r="H30" i="8" s="1"/>
</calcChain>
</file>

<file path=xl/sharedStrings.xml><?xml version="1.0" encoding="utf-8"?>
<sst xmlns="http://schemas.openxmlformats.org/spreadsheetml/2006/main" count="577" uniqueCount="158">
  <si>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</si>
  <si>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</si>
  <si>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</si>
  <si>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</si>
  <si>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</si>
  <si>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</si>
  <si>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</si>
  <si>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</si>
  <si>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</si>
  <si>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</si>
  <si>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</si>
  <si>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</si>
  <si>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</si>
  <si>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</si>
  <si>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</si>
  <si>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</si>
  <si>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</si>
  <si>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</si>
  <si>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</si>
  <si>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</si>
  <si>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</si>
  <si>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</si>
  <si>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</si>
  <si>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</si>
  <si>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</si>
  <si>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</si>
  <si>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</si>
  <si>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</si>
  <si>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</si>
  <si>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</si>
  <si>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</si>
  <si>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</si>
  <si>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</si>
  <si>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</si>
  <si>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</si>
  <si>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</si>
  <si>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</si>
  <si>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</si>
  <si>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</si>
  <si>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</si>
  <si>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</si>
  <si>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</si>
  <si>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</si>
  <si>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</si>
  <si>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</si>
  <si>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AKTIVNOSTI</t>
  </si>
  <si>
    <t>Naziv izvora financiranja</t>
  </si>
  <si>
    <t>A) SAŽETAK RAČUNA PRIHODA I RASHODA</t>
  </si>
  <si>
    <t>B) SAŽETAK RAČUNA FINANCIRANJA</t>
  </si>
  <si>
    <t>UKUPAN DONOS VIŠKA / MANJKA IZ PRETHODNE(IH) GODINE***</t>
  </si>
  <si>
    <t>EUR/KN*</t>
  </si>
  <si>
    <t>Prihodi od prodaje proizvedene dugotrajne imovine</t>
  </si>
  <si>
    <t>…</t>
  </si>
  <si>
    <t>Ostale pomoći</t>
  </si>
  <si>
    <t>Ostali prihodi za posebne namjene</t>
  </si>
  <si>
    <t>C) PRENESENI VIŠAK ILI PRENESENI MANJAK I VIŠEGODIŠNJI PLAN URAVNOTEŽENJA</t>
  </si>
  <si>
    <t>Naziv</t>
  </si>
  <si>
    <t>Pomoći EU</t>
  </si>
  <si>
    <t>Donacije</t>
  </si>
  <si>
    <t>Prihodi od imovine</t>
  </si>
  <si>
    <t>Prihodi od upravnih i administrativnih pristojbi,pristojbi po posebnim propisima i naknada</t>
  </si>
  <si>
    <t>Prihodi od prodaje proizvoda i robe te pruženih uslugai prihodi od donacija</t>
  </si>
  <si>
    <t>Decentralizirana sredstva</t>
  </si>
  <si>
    <t>Naknade građanima i kućanstvima</t>
  </si>
  <si>
    <t>09 Obrazovanje</t>
  </si>
  <si>
    <t>091 Predškolsko i osnovno obrazovanje</t>
  </si>
  <si>
    <t>Izvor financiranja 052</t>
  </si>
  <si>
    <t>Izvor financiranja 051</t>
  </si>
  <si>
    <t>Izvor financiranja 011</t>
  </si>
  <si>
    <t>Izvor financiranja</t>
  </si>
  <si>
    <t>NAZIV PROGRAMA -  DECENTRALIZIRANA SREDSTVA</t>
  </si>
  <si>
    <t>Kapitalne pomoći proračunskim korisnicima</t>
  </si>
  <si>
    <t>Pomoći proračunskim korisnicima iz proračuna koji im nije nadležan</t>
  </si>
  <si>
    <t>Tekuće pomoći iz državnog proračuna temeljem prijenosa EU sredstava</t>
  </si>
  <si>
    <t>Kapitalne donacije</t>
  </si>
  <si>
    <t>Prihodi iz nadležnog proračuna za financiranje rashoda poslovanja</t>
  </si>
  <si>
    <t>Plaće za redovan rad</t>
  </si>
  <si>
    <t>Ostali rashodi za zaposlene</t>
  </si>
  <si>
    <t>Doprinosi za obvezno zdravstveno osiguranje</t>
  </si>
  <si>
    <t>Službena putovanja</t>
  </si>
  <si>
    <t>Naknade za prijevoz</t>
  </si>
  <si>
    <t>Stručno usavršavanje zaposlenika</t>
  </si>
  <si>
    <t>Ostale naknade troškova zaposlenima</t>
  </si>
  <si>
    <t>Uredski materijal i ostali mat.rashodi</t>
  </si>
  <si>
    <t>Materijal i sirovine</t>
  </si>
  <si>
    <t>Energija</t>
  </si>
  <si>
    <t>Materijal i dijelovi za tekuće i investicijsko održavanje</t>
  </si>
  <si>
    <t>Službena,radna i zaštitna obuća</t>
  </si>
  <si>
    <t>Usluge telefona,pošte i prijevoza</t>
  </si>
  <si>
    <t>Usluge tekućeg i investicijskog održavanje</t>
  </si>
  <si>
    <t>Usluge promidžbe i informiranja</t>
  </si>
  <si>
    <t>Komunalne usluge</t>
  </si>
  <si>
    <t>Zdravstvene usluge</t>
  </si>
  <si>
    <t>Intelektualne usluge</t>
  </si>
  <si>
    <t>Računalne usluge</t>
  </si>
  <si>
    <t>Ostale usluge</t>
  </si>
  <si>
    <t>Članarine</t>
  </si>
  <si>
    <t>Pristojbe i naknade</t>
  </si>
  <si>
    <t>Ostali nespomenuti rashodi poslovanja</t>
  </si>
  <si>
    <t>Bankarske usluge</t>
  </si>
  <si>
    <t>Uredska oprema i namještaj</t>
  </si>
  <si>
    <t>Knjige</t>
  </si>
  <si>
    <t>Doprinosi za zdravstveno osiguranje</t>
  </si>
  <si>
    <t>Naknada za prijevoz na posao</t>
  </si>
  <si>
    <t>Uredski materijal i ostali materijalni rashodi</t>
  </si>
  <si>
    <t>Materija i dijelovi za tekuće i investicijsko održavanje</t>
  </si>
  <si>
    <t>Usluge tekućeg i investicijskog održavanja</t>
  </si>
  <si>
    <t>Intelektualne uluge</t>
  </si>
  <si>
    <t>Indeks 4=3/1*100</t>
  </si>
  <si>
    <t>Indeks 5=3/2*100</t>
  </si>
  <si>
    <t>Tekuće donacije</t>
  </si>
  <si>
    <t>Licence</t>
  </si>
  <si>
    <t>Uređaju,strojevi i oprema za ostale namjene</t>
  </si>
  <si>
    <t>Plaće za prekovremeni rad</t>
  </si>
  <si>
    <t>Plaće za posebne uvjete rada</t>
  </si>
  <si>
    <t>Troškovi sudskih postupaka</t>
  </si>
  <si>
    <t>Zatezne kamate</t>
  </si>
  <si>
    <t>Sitni inventar</t>
  </si>
  <si>
    <t>Doprinosi za obvezno osiguranje u slučaju nezaposlenosti</t>
  </si>
  <si>
    <t>Izvršenje 2024.</t>
  </si>
  <si>
    <t>NAZIV PROGRAMA - GRAĐANSKI ODGOJ</t>
  </si>
  <si>
    <t>Izvor financiranja011</t>
  </si>
  <si>
    <t>NAZIV PROGRAMA -  MZOM - PLAĆE I OSTALI RASHODI MZOM</t>
  </si>
  <si>
    <t>Ukupni rashodi</t>
  </si>
  <si>
    <t>PROGRAM 1035A103512</t>
  </si>
  <si>
    <t>Aktivnost 1035A103512</t>
  </si>
  <si>
    <t>PROGRAM 1035A103521</t>
  </si>
  <si>
    <t>Aktivnost 1035A103521</t>
  </si>
  <si>
    <t>NAZIV PROGRAMA - POMOĆNICI U NASTAVI GRAD</t>
  </si>
  <si>
    <t>PROGRAM 1035A103517</t>
  </si>
  <si>
    <t>Aktivnost 1035A103517</t>
  </si>
  <si>
    <t>PROGRAM 1035A103519, 1035A103520</t>
  </si>
  <si>
    <t>Aktivnost  1035A103519, 1035A103520</t>
  </si>
  <si>
    <t>PROGRAM 1035A103502</t>
  </si>
  <si>
    <t>Aktivnost 1035A103502</t>
  </si>
  <si>
    <t>PROGRAM 1024A102401</t>
  </si>
  <si>
    <t>Aktivnost 1024A102401</t>
  </si>
  <si>
    <t>PROGRAM 1035A103522</t>
  </si>
  <si>
    <t>Aktivnost 1035A103522</t>
  </si>
  <si>
    <t>NAZIV PROGRAMA - POMOĆNICI U NASTAVI EU</t>
  </si>
  <si>
    <t xml:space="preserve">NAZIV PROGRAMA - PREHRANA UČENIKA DRŽAVNI PRORAČUN </t>
  </si>
  <si>
    <t>NAZIV PROGRAMA -  PROGRAM ŠKOLSTVA</t>
  </si>
  <si>
    <t>Knjuge, umjetnička djela i ostalo</t>
  </si>
  <si>
    <t>Rashodi za materijal i energiju</t>
  </si>
  <si>
    <t xml:space="preserve">Uredski materijal i ost. </t>
  </si>
  <si>
    <t>Rashodi za usluge</t>
  </si>
  <si>
    <t>Usluge tekućeg i invest. Održavanja</t>
  </si>
  <si>
    <t>Naknade građanima i kućanstvima na temelju osig. I dr.</t>
  </si>
  <si>
    <t>Ostale naknade građanima i kućanstvima</t>
  </si>
  <si>
    <t>Naknade građanima u naravi</t>
  </si>
  <si>
    <t>NAZIV PROGRAMA - DRUGI OBRAZOVNI MATERIJALI</t>
  </si>
  <si>
    <t>PROGRAM 1035A103515</t>
  </si>
  <si>
    <t>Najamnine i zakupnine</t>
  </si>
  <si>
    <t>Plan 2025.</t>
  </si>
  <si>
    <t>Izvršenje 2025.</t>
  </si>
  <si>
    <t>POLUGODIŠNJI IZVJEŠTAJ O IZVRŠENJU FINANCIJSKOG PLANA ZA 2025.GODINU</t>
  </si>
  <si>
    <t>OSNOVNA ŠKOLA KURŠANEC                                POLUGODIŠNJI IZVJEŠTAJ O IZVRŠENJU FINANCIJSKOG PLANA ZA 2025.GODINU</t>
  </si>
  <si>
    <t>Oprema za održavanje i zaštitu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</si>
</sst>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7" fillId="0" borderId="5" xfId="0" applyFont="1" applyBorder="1" applyAlignment="1">
      <alignment horizontal="righ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4" borderId="3" xfId="0" applyNumberFormat="1" applyFont="1" applyFill="1" applyBorder="1" applyAlignment="1">
      <alignment horizontal="right"/>
    </xf>
    <xf numFmtId="0" fontId="11" fillId="4" borderId="1" xfId="0" applyFont="1" applyFill="1" applyBorder="1" applyAlignment="1">
      <alignment horizontal="left" vertical="center"/>
    </xf>
    <xf numFmtId="0" fontId="9" fillId="4" borderId="2" xfId="0" applyNumberFormat="1" applyFont="1" applyFill="1" applyBorder="1" applyAlignment="1" applyProtection="1">
      <alignment vertical="center"/>
    </xf>
    <xf numFmtId="3" fontId="6" fillId="4" borderId="3" xfId="0" applyNumberFormat="1" applyFont="1" applyFill="1" applyBorder="1" applyAlignment="1">
      <alignment horizontal="right"/>
    </xf>
    <xf numFmtId="3" fontId="6" fillId="4" borderId="1" xfId="0" quotePrefix="1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left" vertical="center" wrapText="1"/>
    </xf>
    <xf numFmtId="4" fontId="3" fillId="2" borderId="0" xfId="0" applyNumberFormat="1" applyFont="1" applyFill="1" applyBorder="1" applyAlignment="1">
      <alignment horizontal="right"/>
    </xf>
    <xf numFmtId="4" fontId="6" fillId="2" borderId="0" xfId="0" applyNumberFormat="1" applyFont="1" applyFill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Fill="1"/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horizontal="left" vertical="center" wrapText="1"/>
    </xf>
    <xf numFmtId="4" fontId="3" fillId="0" borderId="4" xfId="0" applyNumberFormat="1" applyFont="1" applyFill="1" applyBorder="1" applyAlignment="1">
      <alignment horizontal="right"/>
    </xf>
    <xf numFmtId="0" fontId="9" fillId="0" borderId="3" xfId="0" quotePrefix="1" applyFont="1" applyFill="1" applyBorder="1" applyAlignment="1">
      <alignment horizontal="left" vertical="center"/>
    </xf>
    <xf numFmtId="0" fontId="10" fillId="0" borderId="3" xfId="0" quotePrefix="1" applyFont="1" applyFill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right"/>
    </xf>
    <xf numFmtId="0" fontId="11" fillId="0" borderId="3" xfId="0" quotePrefix="1" applyFont="1" applyFill="1" applyBorder="1" applyAlignment="1">
      <alignment horizontal="left" vertical="center"/>
    </xf>
    <xf numFmtId="0" fontId="23" fillId="0" borderId="3" xfId="0" quotePrefix="1" applyFont="1" applyFill="1" applyBorder="1" applyAlignment="1">
      <alignment horizontal="left" vertical="center"/>
    </xf>
    <xf numFmtId="0" fontId="11" fillId="0" borderId="3" xfId="0" quotePrefix="1" applyFont="1" applyFill="1" applyBorder="1" applyAlignment="1">
      <alignment horizontal="left" vertical="center" wrapText="1"/>
    </xf>
    <xf numFmtId="4" fontId="6" fillId="0" borderId="4" xfId="0" applyNumberFormat="1" applyFont="1" applyFill="1" applyBorder="1" applyAlignment="1">
      <alignment horizontal="right"/>
    </xf>
    <xf numFmtId="0" fontId="10" fillId="0" borderId="3" xfId="0" quotePrefix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1" fillId="0" borderId="3" xfId="0" applyNumberFormat="1" applyFont="1" applyFill="1" applyBorder="1" applyAlignment="1" applyProtection="1">
      <alignment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10" fillId="0" borderId="3" xfId="0" applyNumberFormat="1" applyFont="1" applyFill="1" applyBorder="1" applyAlignment="1" applyProtection="1">
      <alignment horizontal="left" vertical="center"/>
    </xf>
    <xf numFmtId="0" fontId="10" fillId="0" borderId="3" xfId="0" applyNumberFormat="1" applyFont="1" applyFill="1" applyBorder="1" applyAlignment="1" applyProtection="1">
      <alignment vertical="center" wrapText="1"/>
    </xf>
    <xf numFmtId="0" fontId="19" fillId="0" borderId="3" xfId="0" applyFont="1" applyFill="1" applyBorder="1"/>
    <xf numFmtId="0" fontId="22" fillId="0" borderId="3" xfId="0" applyFont="1" applyFill="1" applyBorder="1" applyAlignment="1">
      <alignment horizontal="left"/>
    </xf>
    <xf numFmtId="0" fontId="22" fillId="0" borderId="3" xfId="0" applyFont="1" applyFill="1" applyBorder="1" applyAlignment="1">
      <alignment wrapText="1"/>
    </xf>
    <xf numFmtId="4" fontId="22" fillId="0" borderId="3" xfId="0" applyNumberFormat="1" applyFont="1" applyFill="1" applyBorder="1"/>
    <xf numFmtId="0" fontId="19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left"/>
    </xf>
    <xf numFmtId="0" fontId="20" fillId="0" borderId="3" xfId="0" applyFont="1" applyFill="1" applyBorder="1"/>
    <xf numFmtId="4" fontId="19" fillId="0" borderId="3" xfId="0" applyNumberFormat="1" applyFont="1" applyFill="1" applyBorder="1"/>
    <xf numFmtId="0" fontId="0" fillId="0" borderId="3" xfId="0" applyFill="1" applyBorder="1"/>
    <xf numFmtId="0" fontId="21" fillId="0" borderId="3" xfId="0" applyFont="1" applyFill="1" applyBorder="1" applyAlignment="1">
      <alignment horizontal="left"/>
    </xf>
    <xf numFmtId="0" fontId="21" fillId="0" borderId="3" xfId="0" applyFont="1" applyFill="1" applyBorder="1"/>
    <xf numFmtId="4" fontId="0" fillId="0" borderId="3" xfId="0" applyNumberFormat="1" applyFill="1" applyBorder="1"/>
    <xf numFmtId="3" fontId="0" fillId="0" borderId="3" xfId="0" applyNumberFormat="1" applyFill="1" applyBorder="1"/>
    <xf numFmtId="3" fontId="0" fillId="0" borderId="0" xfId="0" applyNumberFormat="1" applyFill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0" xfId="0" applyNumberFormat="1" applyFont="1" applyFill="1" applyBorder="1" applyAlignment="1" applyProtection="1">
      <alignment horizontal="left" vertical="center" wrapText="1" indent="1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 indent="1"/>
    </xf>
    <xf numFmtId="0" fontId="6" fillId="2" borderId="2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wrapText="1"/>
    </xf>
    <xf numFmtId="0" fontId="11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vertical="center" wrapText="1"/>
    </xf>
    <xf numFmtId="0" fontId="9" fillId="4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1" fillId="4" borderId="1" xfId="0" quotePrefix="1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opLeftCell="A25" workbookViewId="0">
      <selection activeCell="N14" sqref="N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57" t="s">
        <v>156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0" ht="15.75" x14ac:dyDescent="0.25">
      <c r="A3" s="158" t="s">
        <v>37</v>
      </c>
      <c r="B3" s="158"/>
      <c r="C3" s="158"/>
      <c r="D3" s="158"/>
      <c r="E3" s="158"/>
      <c r="F3" s="158"/>
      <c r="G3" s="158"/>
      <c r="H3" s="158"/>
      <c r="I3" s="159"/>
      <c r="J3" s="159"/>
    </row>
    <row r="4" spans="1:10" ht="18" x14ac:dyDescent="0.25">
      <c r="A4" s="26"/>
      <c r="B4" s="26"/>
      <c r="C4" s="26"/>
      <c r="D4" s="26"/>
      <c r="E4" s="26"/>
      <c r="F4" s="26"/>
      <c r="G4" s="26"/>
      <c r="H4" s="26"/>
      <c r="I4" s="4"/>
      <c r="J4" s="4"/>
    </row>
    <row r="5" spans="1:10" ht="18" customHeight="1" x14ac:dyDescent="0.25">
      <c r="A5" s="158" t="s">
        <v>47</v>
      </c>
      <c r="B5" s="160"/>
      <c r="C5" s="160"/>
      <c r="D5" s="160"/>
      <c r="E5" s="160"/>
      <c r="F5" s="160"/>
      <c r="G5" s="160"/>
      <c r="H5" s="160"/>
      <c r="I5" s="160"/>
      <c r="J5" s="160"/>
    </row>
    <row r="6" spans="1:10" ht="18" x14ac:dyDescent="0.25">
      <c r="A6" s="1"/>
      <c r="B6" s="2"/>
      <c r="C6" s="2"/>
      <c r="D6" s="2"/>
      <c r="E6" s="5"/>
      <c r="F6" s="6"/>
      <c r="G6" s="6"/>
      <c r="H6" s="6"/>
      <c r="I6" s="6"/>
      <c r="J6" s="37" t="s">
        <v>50</v>
      </c>
    </row>
    <row r="7" spans="1:10" x14ac:dyDescent="0.25">
      <c r="A7" s="30"/>
      <c r="B7" s="31"/>
      <c r="C7" s="31"/>
      <c r="D7" s="32"/>
      <c r="E7" s="33"/>
      <c r="F7" s="63" t="s">
        <v>119</v>
      </c>
      <c r="G7" s="22" t="s">
        <v>153</v>
      </c>
      <c r="H7" s="22" t="s">
        <v>154</v>
      </c>
      <c r="I7" s="22" t="s">
        <v>108</v>
      </c>
      <c r="J7" s="22" t="s">
        <v>109</v>
      </c>
    </row>
    <row r="8" spans="1:10" x14ac:dyDescent="0.25">
      <c r="A8" s="161" t="s">
        <v>0</v>
      </c>
      <c r="B8" s="162"/>
      <c r="C8" s="162"/>
      <c r="D8" s="162"/>
      <c r="E8" s="163"/>
      <c r="F8" s="88">
        <f>F9+F10</f>
        <v>1254809.3099999998</v>
      </c>
      <c r="G8" s="88">
        <f t="shared" ref="G8:J8" si="0">G9+G10</f>
        <v>3010327</v>
      </c>
      <c r="H8" s="88">
        <f t="shared" si="0"/>
        <v>1453150.7</v>
      </c>
      <c r="I8" s="88">
        <f t="shared" si="0"/>
        <v>118.28830109688691</v>
      </c>
      <c r="J8" s="88">
        <f t="shared" si="0"/>
        <v>48.272187705853895</v>
      </c>
    </row>
    <row r="9" spans="1:10" x14ac:dyDescent="0.25">
      <c r="A9" s="155" t="s">
        <v>1</v>
      </c>
      <c r="B9" s="156"/>
      <c r="C9" s="156"/>
      <c r="D9" s="156"/>
      <c r="E9" s="164"/>
      <c r="F9" s="86">
        <f>1228482.18+26327.13</f>
        <v>1254809.3099999998</v>
      </c>
      <c r="G9" s="86">
        <v>3010327</v>
      </c>
      <c r="H9" s="86">
        <v>1453150.7</v>
      </c>
      <c r="I9" s="86">
        <f>' Račun prihoda i rashoda'!H10</f>
        <v>118.28830109688691</v>
      </c>
      <c r="J9" s="86">
        <f>' Račun prihoda i rashoda'!I10</f>
        <v>48.272187705853895</v>
      </c>
    </row>
    <row r="10" spans="1:10" x14ac:dyDescent="0.25">
      <c r="A10" s="165" t="s">
        <v>2</v>
      </c>
      <c r="B10" s="164"/>
      <c r="C10" s="164"/>
      <c r="D10" s="164"/>
      <c r="E10" s="164"/>
      <c r="F10" s="86"/>
      <c r="G10" s="86"/>
      <c r="H10" s="86"/>
      <c r="I10" s="86"/>
      <c r="J10" s="86"/>
    </row>
    <row r="11" spans="1:10" x14ac:dyDescent="0.25">
      <c r="A11" s="89" t="s">
        <v>3</v>
      </c>
      <c r="B11" s="90"/>
      <c r="C11" s="90"/>
      <c r="D11" s="90"/>
      <c r="E11" s="90"/>
      <c r="F11" s="88">
        <f>F12+F13</f>
        <v>1216472.49</v>
      </c>
      <c r="G11" s="88">
        <f t="shared" ref="G11:J11" si="1">G12+G13</f>
        <v>3015327</v>
      </c>
      <c r="H11" s="88">
        <f t="shared" si="1"/>
        <v>1626025.58</v>
      </c>
      <c r="I11" s="88">
        <f>(H11/F11)*100</f>
        <v>133.66727101243367</v>
      </c>
      <c r="J11" s="88">
        <f t="shared" si="1"/>
        <v>103.79981254822192</v>
      </c>
    </row>
    <row r="12" spans="1:10" x14ac:dyDescent="0.25">
      <c r="A12" s="166" t="s">
        <v>4</v>
      </c>
      <c r="B12" s="156"/>
      <c r="C12" s="156"/>
      <c r="D12" s="156"/>
      <c r="E12" s="156"/>
      <c r="F12" s="86">
        <v>1216472.49</v>
      </c>
      <c r="G12" s="86">
        <v>2987827</v>
      </c>
      <c r="H12" s="86">
        <v>1622737</v>
      </c>
      <c r="I12" s="77">
        <f t="shared" ref="I12:I14" si="2">(H12/F12)*100</f>
        <v>133.39693362075127</v>
      </c>
      <c r="J12" s="86">
        <f>' Račun prihoda i rashoda'!I56</f>
        <v>54.402652249024165</v>
      </c>
    </row>
    <row r="13" spans="1:10" x14ac:dyDescent="0.25">
      <c r="A13" s="167" t="s">
        <v>5</v>
      </c>
      <c r="B13" s="164"/>
      <c r="C13" s="164"/>
      <c r="D13" s="164"/>
      <c r="E13" s="164"/>
      <c r="F13" s="87">
        <v>0</v>
      </c>
      <c r="G13" s="87">
        <v>27500</v>
      </c>
      <c r="H13" s="87">
        <v>3288.58</v>
      </c>
      <c r="I13" s="77">
        <v>0</v>
      </c>
      <c r="J13" s="86">
        <f>' Račun prihoda i rashoda'!I57</f>
        <v>49.397160299197758</v>
      </c>
    </row>
    <row r="14" spans="1:10" x14ac:dyDescent="0.25">
      <c r="A14" s="168" t="s">
        <v>6</v>
      </c>
      <c r="B14" s="162"/>
      <c r="C14" s="162"/>
      <c r="D14" s="162"/>
      <c r="E14" s="162"/>
      <c r="F14" s="88">
        <f>F8-F11</f>
        <v>38336.819999999832</v>
      </c>
      <c r="G14" s="88">
        <f t="shared" ref="G14:H14" si="3">G8-G11</f>
        <v>-5000</v>
      </c>
      <c r="H14" s="88">
        <f t="shared" si="3"/>
        <v>-172874.88000000012</v>
      </c>
      <c r="I14" s="88">
        <f t="shared" si="2"/>
        <v>-450.93693217121523</v>
      </c>
      <c r="J14" s="88">
        <f>' Račun prihoda i rashoda'!I58</f>
        <v>85.623354251838776</v>
      </c>
    </row>
    <row r="15" spans="1:10" ht="18" x14ac:dyDescent="0.25">
      <c r="A15" s="26"/>
      <c r="B15" s="24"/>
      <c r="C15" s="24"/>
      <c r="D15" s="24"/>
      <c r="E15" s="24"/>
      <c r="F15" s="24"/>
      <c r="G15" s="24"/>
      <c r="H15" s="25"/>
      <c r="I15" s="25"/>
      <c r="J15" s="25"/>
    </row>
    <row r="16" spans="1:10" ht="18" customHeight="1" x14ac:dyDescent="0.25">
      <c r="A16" s="158" t="s">
        <v>48</v>
      </c>
      <c r="B16" s="160"/>
      <c r="C16" s="160"/>
      <c r="D16" s="160"/>
      <c r="E16" s="160"/>
      <c r="F16" s="160"/>
      <c r="G16" s="160"/>
      <c r="H16" s="160"/>
      <c r="I16" s="160"/>
      <c r="J16" s="160"/>
    </row>
    <row r="17" spans="1:10" ht="18" x14ac:dyDescent="0.25">
      <c r="A17" s="26"/>
      <c r="B17" s="24"/>
      <c r="C17" s="24"/>
      <c r="D17" s="24"/>
      <c r="E17" s="24"/>
      <c r="F17" s="24"/>
      <c r="G17" s="24"/>
      <c r="H17" s="25"/>
      <c r="I17" s="25"/>
      <c r="J17" s="25"/>
    </row>
    <row r="18" spans="1:10" x14ac:dyDescent="0.25">
      <c r="A18" s="30"/>
      <c r="B18" s="31"/>
      <c r="C18" s="31"/>
      <c r="D18" s="32"/>
      <c r="E18" s="33"/>
      <c r="F18" s="63" t="s">
        <v>119</v>
      </c>
      <c r="G18" s="22" t="s">
        <v>153</v>
      </c>
      <c r="H18" s="22" t="s">
        <v>154</v>
      </c>
      <c r="I18" s="22" t="s">
        <v>108</v>
      </c>
      <c r="J18" s="22" t="s">
        <v>109</v>
      </c>
    </row>
    <row r="19" spans="1:10" ht="15.75" customHeight="1" x14ac:dyDescent="0.25">
      <c r="A19" s="155" t="s">
        <v>8</v>
      </c>
      <c r="B19" s="169"/>
      <c r="C19" s="169"/>
      <c r="D19" s="169"/>
      <c r="E19" s="170"/>
      <c r="F19" s="34"/>
      <c r="G19" s="34"/>
      <c r="H19" s="34"/>
      <c r="I19" s="34"/>
      <c r="J19" s="34"/>
    </row>
    <row r="20" spans="1:10" x14ac:dyDescent="0.25">
      <c r="A20" s="155" t="s">
        <v>9</v>
      </c>
      <c r="B20" s="156"/>
      <c r="C20" s="156"/>
      <c r="D20" s="156"/>
      <c r="E20" s="156"/>
      <c r="F20" s="34"/>
      <c r="G20" s="34"/>
      <c r="H20" s="34"/>
      <c r="I20" s="34"/>
      <c r="J20" s="34"/>
    </row>
    <row r="21" spans="1:10" x14ac:dyDescent="0.25">
      <c r="A21" s="168" t="s">
        <v>10</v>
      </c>
      <c r="B21" s="162"/>
      <c r="C21" s="162"/>
      <c r="D21" s="162"/>
      <c r="E21" s="162"/>
      <c r="F21" s="91">
        <v>0</v>
      </c>
      <c r="G21" s="91">
        <v>0</v>
      </c>
      <c r="H21" s="91">
        <v>0</v>
      </c>
      <c r="I21" s="91">
        <v>0</v>
      </c>
      <c r="J21" s="91">
        <v>0</v>
      </c>
    </row>
    <row r="22" spans="1:10" ht="18" x14ac:dyDescent="0.25">
      <c r="A22" s="23"/>
      <c r="B22" s="24"/>
      <c r="C22" s="24"/>
      <c r="D22" s="24"/>
      <c r="E22" s="24"/>
      <c r="F22" s="24"/>
      <c r="G22" s="24"/>
      <c r="H22" s="25"/>
      <c r="I22" s="25"/>
      <c r="J22" s="25"/>
    </row>
    <row r="23" spans="1:10" ht="18" customHeight="1" x14ac:dyDescent="0.25">
      <c r="A23" s="158" t="s">
        <v>55</v>
      </c>
      <c r="B23" s="160"/>
      <c r="C23" s="160"/>
      <c r="D23" s="160"/>
      <c r="E23" s="160"/>
      <c r="F23" s="160"/>
      <c r="G23" s="160"/>
      <c r="H23" s="160"/>
      <c r="I23" s="160"/>
      <c r="J23" s="160"/>
    </row>
    <row r="24" spans="1:10" ht="18" x14ac:dyDescent="0.25">
      <c r="A24" s="23"/>
      <c r="B24" s="24"/>
      <c r="C24" s="24"/>
      <c r="D24" s="24"/>
      <c r="E24" s="24"/>
      <c r="F24" s="24"/>
      <c r="G24" s="24"/>
      <c r="H24" s="25"/>
      <c r="I24" s="25"/>
      <c r="J24" s="25"/>
    </row>
    <row r="25" spans="1:10" x14ac:dyDescent="0.25">
      <c r="A25" s="30"/>
      <c r="B25" s="31"/>
      <c r="C25" s="31"/>
      <c r="D25" s="32"/>
      <c r="E25" s="33"/>
      <c r="F25" s="63" t="s">
        <v>119</v>
      </c>
      <c r="G25" s="22" t="s">
        <v>153</v>
      </c>
      <c r="H25" s="22" t="s">
        <v>154</v>
      </c>
      <c r="I25" s="22" t="s">
        <v>108</v>
      </c>
      <c r="J25" s="22" t="s">
        <v>109</v>
      </c>
    </row>
    <row r="26" spans="1:10" x14ac:dyDescent="0.25">
      <c r="A26" s="173" t="s">
        <v>49</v>
      </c>
      <c r="B26" s="174"/>
      <c r="C26" s="174"/>
      <c r="D26" s="174"/>
      <c r="E26" s="175"/>
      <c r="F26" s="35"/>
      <c r="G26" s="35">
        <v>5000</v>
      </c>
      <c r="H26" s="35"/>
      <c r="I26" s="35"/>
      <c r="J26" s="36"/>
    </row>
    <row r="27" spans="1:10" ht="30" customHeight="1" x14ac:dyDescent="0.25">
      <c r="A27" s="176" t="s">
        <v>7</v>
      </c>
      <c r="B27" s="177"/>
      <c r="C27" s="177"/>
      <c r="D27" s="177"/>
      <c r="E27" s="178"/>
      <c r="F27" s="92">
        <v>26327</v>
      </c>
      <c r="G27" s="93"/>
      <c r="H27" s="93">
        <f>H14</f>
        <v>-172874.88000000012</v>
      </c>
      <c r="I27" s="92"/>
      <c r="J27" s="94"/>
    </row>
    <row r="30" spans="1:10" x14ac:dyDescent="0.25">
      <c r="A30" s="166" t="s">
        <v>11</v>
      </c>
      <c r="B30" s="156"/>
      <c r="C30" s="156"/>
      <c r="D30" s="156"/>
      <c r="E30" s="156"/>
      <c r="F30" s="34">
        <f>F27+F26</f>
        <v>26327</v>
      </c>
      <c r="G30" s="34"/>
      <c r="H30" s="34">
        <f>H27+H26</f>
        <v>-172874.88000000012</v>
      </c>
      <c r="I30" s="34">
        <v>0</v>
      </c>
      <c r="J30" s="34">
        <v>0</v>
      </c>
    </row>
    <row r="31" spans="1:10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</row>
    <row r="32" spans="1:10" ht="29.25" customHeight="1" x14ac:dyDescent="0.25">
      <c r="A32" s="171"/>
      <c r="B32" s="172"/>
      <c r="C32" s="172"/>
      <c r="D32" s="172"/>
      <c r="E32" s="172"/>
      <c r="F32" s="172"/>
      <c r="G32" s="172"/>
      <c r="H32" s="172"/>
      <c r="I32" s="172"/>
      <c r="J32" s="172"/>
    </row>
    <row r="33" spans="1:10" ht="8.25" customHeight="1" x14ac:dyDescent="0.25"/>
    <row r="34" spans="1:10" x14ac:dyDescent="0.25">
      <c r="A34" s="171"/>
      <c r="B34" s="172"/>
      <c r="C34" s="172"/>
      <c r="D34" s="172"/>
      <c r="E34" s="172"/>
      <c r="F34" s="172"/>
      <c r="G34" s="172"/>
      <c r="H34" s="172"/>
      <c r="I34" s="172"/>
      <c r="J34" s="172"/>
    </row>
    <row r="35" spans="1:10" ht="8.25" customHeight="1" x14ac:dyDescent="0.25"/>
    <row r="36" spans="1:10" ht="29.25" customHeight="1" x14ac:dyDescent="0.25">
      <c r="A36" s="171"/>
      <c r="B36" s="172"/>
      <c r="C36" s="172"/>
      <c r="D36" s="172"/>
      <c r="E36" s="172"/>
      <c r="F36" s="172"/>
      <c r="G36" s="172"/>
      <c r="H36" s="172"/>
      <c r="I36" s="172"/>
      <c r="J36" s="172"/>
    </row>
  </sheetData>
  <mergeCells count="20">
    <mergeCell ref="A34:J34"/>
    <mergeCell ref="A36:J36"/>
    <mergeCell ref="A21:E21"/>
    <mergeCell ref="A23:J23"/>
    <mergeCell ref="A26:E26"/>
    <mergeCell ref="A27:E27"/>
    <mergeCell ref="A30:E30"/>
    <mergeCell ref="A32:J32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23"/>
  <sheetViews>
    <sheetView topLeftCell="A283" workbookViewId="0">
      <selection activeCell="L306" sqref="L306"/>
    </sheetView>
  </sheetViews>
  <sheetFormatPr defaultRowHeight="15" x14ac:dyDescent="0.25"/>
  <cols>
    <col min="1" max="1" width="7.42578125" style="102" bestFit="1" customWidth="1"/>
    <col min="2" max="2" width="8.42578125" style="102" bestFit="1" customWidth="1"/>
    <col min="3" max="3" width="5.42578125" style="102" bestFit="1" customWidth="1"/>
    <col min="4" max="9" width="25.28515625" style="102" customWidth="1"/>
    <col min="10" max="16384" width="9.140625" style="102"/>
  </cols>
  <sheetData>
    <row r="1" spans="1:9" ht="42" customHeight="1" x14ac:dyDescent="0.25">
      <c r="A1" s="158" t="s">
        <v>155</v>
      </c>
      <c r="B1" s="158"/>
      <c r="C1" s="158"/>
      <c r="D1" s="158"/>
      <c r="E1" s="158"/>
      <c r="F1" s="158"/>
      <c r="G1" s="158"/>
      <c r="H1" s="158"/>
      <c r="I1" s="158"/>
    </row>
    <row r="2" spans="1:9" ht="18" customHeight="1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ht="15.75" x14ac:dyDescent="0.25">
      <c r="A3" s="158" t="s">
        <v>37</v>
      </c>
      <c r="B3" s="158"/>
      <c r="C3" s="158"/>
      <c r="D3" s="158"/>
      <c r="E3" s="158"/>
      <c r="F3" s="158"/>
      <c r="G3" s="158"/>
      <c r="H3" s="159"/>
      <c r="I3" s="159"/>
    </row>
    <row r="4" spans="1:9" ht="18" x14ac:dyDescent="0.25">
      <c r="A4" s="26"/>
      <c r="B4" s="26"/>
      <c r="C4" s="26"/>
      <c r="D4" s="26"/>
      <c r="E4" s="26"/>
      <c r="F4" s="26"/>
      <c r="G4" s="26"/>
      <c r="H4" s="4"/>
      <c r="I4" s="4"/>
    </row>
    <row r="5" spans="1:9" ht="18" customHeight="1" x14ac:dyDescent="0.25">
      <c r="A5" s="158" t="s">
        <v>13</v>
      </c>
      <c r="B5" s="183"/>
      <c r="C5" s="183"/>
      <c r="D5" s="183"/>
      <c r="E5" s="183"/>
      <c r="F5" s="183"/>
      <c r="G5" s="183"/>
      <c r="H5" s="183"/>
      <c r="I5" s="183"/>
    </row>
    <row r="6" spans="1:9" ht="18" x14ac:dyDescent="0.25">
      <c r="A6" s="26"/>
      <c r="B6" s="26"/>
      <c r="C6" s="26"/>
      <c r="D6" s="26"/>
      <c r="E6" s="26"/>
      <c r="F6" s="26"/>
      <c r="G6" s="26"/>
      <c r="H6" s="4"/>
      <c r="I6" s="4"/>
    </row>
    <row r="7" spans="1:9" ht="15.75" x14ac:dyDescent="0.25">
      <c r="A7" s="158" t="s">
        <v>1</v>
      </c>
      <c r="B7" s="182"/>
      <c r="C7" s="182"/>
      <c r="D7" s="182"/>
      <c r="E7" s="182"/>
      <c r="F7" s="182"/>
      <c r="G7" s="182"/>
      <c r="H7" s="182"/>
      <c r="I7" s="182"/>
    </row>
    <row r="8" spans="1:9" ht="18" x14ac:dyDescent="0.25">
      <c r="A8" s="26"/>
      <c r="B8" s="26"/>
      <c r="C8" s="26"/>
      <c r="D8" s="26"/>
      <c r="E8" s="26"/>
      <c r="F8" s="26"/>
      <c r="G8" s="26"/>
      <c r="H8" s="4"/>
      <c r="I8" s="4"/>
    </row>
    <row r="9" spans="1:9" x14ac:dyDescent="0.25">
      <c r="A9" s="95" t="s">
        <v>14</v>
      </c>
      <c r="B9" s="100" t="s">
        <v>15</v>
      </c>
      <c r="C9" s="100" t="s">
        <v>16</v>
      </c>
      <c r="D9" s="100" t="s">
        <v>12</v>
      </c>
      <c r="E9" s="150" t="s">
        <v>119</v>
      </c>
      <c r="F9" s="95" t="s">
        <v>153</v>
      </c>
      <c r="G9" s="95" t="s">
        <v>154</v>
      </c>
      <c r="H9" s="95" t="s">
        <v>108</v>
      </c>
      <c r="I9" s="95" t="s">
        <v>109</v>
      </c>
    </row>
    <row r="10" spans="1:9" ht="15.75" customHeight="1" x14ac:dyDescent="0.25">
      <c r="A10" s="103">
        <v>6</v>
      </c>
      <c r="B10" s="103"/>
      <c r="C10" s="103"/>
      <c r="D10" s="103" t="s">
        <v>17</v>
      </c>
      <c r="E10" s="86">
        <f>SUM(E11,E17,E23,E32,E34,E45,E41,E29)</f>
        <v>1228482.1800000002</v>
      </c>
      <c r="F10" s="86">
        <f>F11+F17+F23+F32+F34+F37+F43+F45+F41</f>
        <v>3010327</v>
      </c>
      <c r="G10" s="86">
        <f>G11+G17+G23+G32+G34+G37+G43+G45+G41+G29</f>
        <v>1453150.7000000004</v>
      </c>
      <c r="H10" s="86">
        <f>(G10/E10)*100</f>
        <v>118.28830109688691</v>
      </c>
      <c r="I10" s="86">
        <f>(G10/F10)*100</f>
        <v>48.272187705853895</v>
      </c>
    </row>
    <row r="11" spans="1:9" ht="38.25" x14ac:dyDescent="0.25">
      <c r="A11" s="103"/>
      <c r="B11" s="103">
        <v>6361</v>
      </c>
      <c r="C11" s="103"/>
      <c r="D11" s="103" t="s">
        <v>72</v>
      </c>
      <c r="E11" s="86">
        <f t="shared" ref="E11:G11" si="0">SUM(E12:E16)</f>
        <v>1140712.26</v>
      </c>
      <c r="F11" s="86">
        <f t="shared" si="0"/>
        <v>2781200</v>
      </c>
      <c r="G11" s="86">
        <f t="shared" si="0"/>
        <v>1292506.9400000002</v>
      </c>
      <c r="H11" s="86">
        <f t="shared" ref="H11:H48" si="1">(G11/E11)*100</f>
        <v>113.30700872803806</v>
      </c>
      <c r="I11" s="86">
        <f t="shared" ref="I11:I48" si="2">(G11/F11)*100</f>
        <v>46.472995110024456</v>
      </c>
    </row>
    <row r="12" spans="1:9" x14ac:dyDescent="0.25">
      <c r="A12" s="103"/>
      <c r="B12" s="103"/>
      <c r="C12" s="104">
        <v>11</v>
      </c>
      <c r="D12" s="104" t="s">
        <v>18</v>
      </c>
      <c r="E12" s="105"/>
      <c r="F12" s="86"/>
      <c r="G12" s="86"/>
      <c r="H12" s="86"/>
      <c r="I12" s="86"/>
    </row>
    <row r="13" spans="1:9" x14ac:dyDescent="0.25">
      <c r="A13" s="106"/>
      <c r="B13" s="106"/>
      <c r="C13" s="107">
        <v>52</v>
      </c>
      <c r="D13" s="107" t="s">
        <v>53</v>
      </c>
      <c r="E13" s="105">
        <v>1140712.26</v>
      </c>
      <c r="F13" s="108">
        <v>2781200</v>
      </c>
      <c r="G13" s="108">
        <f>1200545.22+20698.32+2062.8+60.52+10652+58488.08</f>
        <v>1292506.9400000002</v>
      </c>
      <c r="H13" s="86">
        <f t="shared" si="1"/>
        <v>113.30700872803806</v>
      </c>
      <c r="I13" s="86">
        <f t="shared" si="2"/>
        <v>46.472995110024456</v>
      </c>
    </row>
    <row r="14" spans="1:9" x14ac:dyDescent="0.25">
      <c r="A14" s="106"/>
      <c r="B14" s="106"/>
      <c r="C14" s="107">
        <v>43</v>
      </c>
      <c r="D14" s="107" t="s">
        <v>54</v>
      </c>
      <c r="E14" s="105"/>
      <c r="F14" s="108"/>
      <c r="G14" s="108"/>
      <c r="H14" s="86"/>
      <c r="I14" s="86"/>
    </row>
    <row r="15" spans="1:9" x14ac:dyDescent="0.25">
      <c r="A15" s="106"/>
      <c r="B15" s="106"/>
      <c r="C15" s="107">
        <v>51</v>
      </c>
      <c r="D15" s="107" t="s">
        <v>57</v>
      </c>
      <c r="E15" s="105"/>
      <c r="F15" s="108"/>
      <c r="G15" s="108"/>
      <c r="H15" s="86"/>
      <c r="I15" s="86"/>
    </row>
    <row r="16" spans="1:9" x14ac:dyDescent="0.25">
      <c r="A16" s="106"/>
      <c r="B16" s="106"/>
      <c r="C16" s="107">
        <v>61</v>
      </c>
      <c r="D16" s="107" t="s">
        <v>58</v>
      </c>
      <c r="E16" s="105"/>
      <c r="F16" s="108"/>
      <c r="G16" s="108"/>
      <c r="H16" s="86"/>
      <c r="I16" s="86"/>
    </row>
    <row r="17" spans="1:9" ht="24" customHeight="1" x14ac:dyDescent="0.25">
      <c r="A17" s="109"/>
      <c r="B17" s="109">
        <v>6362</v>
      </c>
      <c r="C17" s="110"/>
      <c r="D17" s="111" t="s">
        <v>71</v>
      </c>
      <c r="E17" s="86">
        <f>SUM(E18:E22)</f>
        <v>0</v>
      </c>
      <c r="F17" s="86">
        <f>SUM(F18:F22)</f>
        <v>0</v>
      </c>
      <c r="G17" s="86">
        <f>SUM(G18:G22)</f>
        <v>6776.1</v>
      </c>
      <c r="H17" s="86" t="e">
        <f t="shared" si="1"/>
        <v>#DIV/0!</v>
      </c>
      <c r="I17" s="86" t="e">
        <f t="shared" si="2"/>
        <v>#DIV/0!</v>
      </c>
    </row>
    <row r="18" spans="1:9" x14ac:dyDescent="0.25">
      <c r="A18" s="106"/>
      <c r="B18" s="106"/>
      <c r="C18" s="107">
        <v>11</v>
      </c>
      <c r="D18" s="104" t="s">
        <v>18</v>
      </c>
      <c r="E18" s="105"/>
      <c r="F18" s="108"/>
      <c r="G18" s="108"/>
      <c r="H18" s="86"/>
      <c r="I18" s="86"/>
    </row>
    <row r="19" spans="1:9" x14ac:dyDescent="0.25">
      <c r="A19" s="106"/>
      <c r="B19" s="106"/>
      <c r="C19" s="107">
        <v>52</v>
      </c>
      <c r="D19" s="107" t="s">
        <v>53</v>
      </c>
      <c r="E19" s="105">
        <v>0</v>
      </c>
      <c r="F19" s="108">
        <v>0</v>
      </c>
      <c r="G19" s="108">
        <v>6776.1</v>
      </c>
      <c r="H19" s="86" t="e">
        <f t="shared" si="1"/>
        <v>#DIV/0!</v>
      </c>
      <c r="I19" s="86" t="e">
        <f t="shared" si="2"/>
        <v>#DIV/0!</v>
      </c>
    </row>
    <row r="20" spans="1:9" x14ac:dyDescent="0.25">
      <c r="A20" s="106"/>
      <c r="B20" s="106"/>
      <c r="C20" s="107">
        <v>43</v>
      </c>
      <c r="D20" s="107" t="s">
        <v>54</v>
      </c>
      <c r="E20" s="105"/>
      <c r="F20" s="108"/>
      <c r="G20" s="108"/>
      <c r="H20" s="86"/>
      <c r="I20" s="86"/>
    </row>
    <row r="21" spans="1:9" x14ac:dyDescent="0.25">
      <c r="A21" s="106"/>
      <c r="B21" s="106"/>
      <c r="C21" s="107">
        <v>51</v>
      </c>
      <c r="D21" s="107" t="s">
        <v>57</v>
      </c>
      <c r="E21" s="105"/>
      <c r="F21" s="108"/>
      <c r="G21" s="108"/>
      <c r="H21" s="86"/>
      <c r="I21" s="86"/>
    </row>
    <row r="22" spans="1:9" x14ac:dyDescent="0.25">
      <c r="A22" s="106"/>
      <c r="B22" s="109"/>
      <c r="C22" s="107">
        <v>61</v>
      </c>
      <c r="D22" s="107" t="s">
        <v>58</v>
      </c>
      <c r="E22" s="105"/>
      <c r="F22" s="108"/>
      <c r="G22" s="108"/>
      <c r="H22" s="86"/>
      <c r="I22" s="86"/>
    </row>
    <row r="23" spans="1:9" ht="51" x14ac:dyDescent="0.25">
      <c r="A23" s="109"/>
      <c r="B23" s="109">
        <v>6381</v>
      </c>
      <c r="C23" s="110"/>
      <c r="D23" s="111" t="s">
        <v>73</v>
      </c>
      <c r="E23" s="86">
        <f>SUM(E24:E28)</f>
        <v>17050.009999999998</v>
      </c>
      <c r="F23" s="86">
        <f t="shared" ref="F23:G23" si="3">SUM(F24:F28)</f>
        <v>0</v>
      </c>
      <c r="G23" s="86">
        <f t="shared" si="3"/>
        <v>0</v>
      </c>
      <c r="H23" s="86">
        <f t="shared" si="1"/>
        <v>0</v>
      </c>
      <c r="I23" s="86" t="e">
        <f t="shared" si="2"/>
        <v>#DIV/0!</v>
      </c>
    </row>
    <row r="24" spans="1:9" x14ac:dyDescent="0.25">
      <c r="A24" s="106"/>
      <c r="B24" s="109"/>
      <c r="C24" s="107">
        <v>11</v>
      </c>
      <c r="D24" s="104" t="s">
        <v>18</v>
      </c>
      <c r="E24" s="105"/>
      <c r="F24" s="108"/>
      <c r="G24" s="108"/>
      <c r="H24" s="86"/>
      <c r="I24" s="86"/>
    </row>
    <row r="25" spans="1:9" x14ac:dyDescent="0.25">
      <c r="A25" s="106"/>
      <c r="B25" s="109"/>
      <c r="C25" s="107">
        <v>52</v>
      </c>
      <c r="D25" s="107" t="s">
        <v>53</v>
      </c>
      <c r="E25" s="105"/>
      <c r="F25" s="108"/>
      <c r="G25" s="108"/>
      <c r="H25" s="86"/>
      <c r="I25" s="86"/>
    </row>
    <row r="26" spans="1:9" x14ac:dyDescent="0.25">
      <c r="A26" s="106"/>
      <c r="B26" s="109"/>
      <c r="C26" s="107">
        <v>43</v>
      </c>
      <c r="D26" s="107" t="s">
        <v>54</v>
      </c>
      <c r="E26" s="105"/>
      <c r="F26" s="108"/>
      <c r="G26" s="108"/>
      <c r="H26" s="86"/>
      <c r="I26" s="86"/>
    </row>
    <row r="27" spans="1:9" x14ac:dyDescent="0.25">
      <c r="A27" s="106"/>
      <c r="B27" s="109"/>
      <c r="C27" s="107">
        <v>51</v>
      </c>
      <c r="D27" s="107" t="s">
        <v>57</v>
      </c>
      <c r="E27" s="105">
        <v>17050.009999999998</v>
      </c>
      <c r="F27" s="108"/>
      <c r="G27" s="108">
        <v>0</v>
      </c>
      <c r="H27" s="86">
        <f t="shared" si="1"/>
        <v>0</v>
      </c>
      <c r="I27" s="86" t="e">
        <f t="shared" si="2"/>
        <v>#DIV/0!</v>
      </c>
    </row>
    <row r="28" spans="1:9" x14ac:dyDescent="0.25">
      <c r="A28" s="106"/>
      <c r="B28" s="109"/>
      <c r="C28" s="107">
        <v>61</v>
      </c>
      <c r="D28" s="107" t="s">
        <v>58</v>
      </c>
      <c r="E28" s="105"/>
      <c r="F28" s="108"/>
      <c r="G28" s="108"/>
      <c r="H28" s="86"/>
      <c r="I28" s="86"/>
    </row>
    <row r="29" spans="1:9" x14ac:dyDescent="0.25">
      <c r="A29" s="106"/>
      <c r="B29" s="109">
        <v>6391</v>
      </c>
      <c r="C29" s="107"/>
      <c r="D29" s="107"/>
      <c r="E29" s="112">
        <f>SUM(E30:E31)</f>
        <v>380</v>
      </c>
      <c r="F29" s="86">
        <v>0</v>
      </c>
      <c r="G29" s="86">
        <f>SUM(G30:G31)</f>
        <v>57781.11</v>
      </c>
      <c r="H29" s="86">
        <f>(G29/E29)*100</f>
        <v>15205.555263157896</v>
      </c>
      <c r="I29" s="86" t="e">
        <f>(G29/F29)*100</f>
        <v>#DIV/0!</v>
      </c>
    </row>
    <row r="30" spans="1:9" x14ac:dyDescent="0.25">
      <c r="A30" s="106"/>
      <c r="B30" s="109"/>
      <c r="C30" s="107">
        <v>11</v>
      </c>
      <c r="D30" s="104" t="s">
        <v>18</v>
      </c>
      <c r="E30" s="105">
        <v>380</v>
      </c>
      <c r="F30" s="108">
        <v>0</v>
      </c>
      <c r="G30" s="108">
        <f>4088.58+53692.53</f>
        <v>57781.11</v>
      </c>
      <c r="H30" s="86">
        <f>G30/E30*100</f>
        <v>15205.555263157896</v>
      </c>
      <c r="I30" s="86"/>
    </row>
    <row r="31" spans="1:9" x14ac:dyDescent="0.25">
      <c r="A31" s="106"/>
      <c r="B31" s="109"/>
      <c r="C31" s="107">
        <v>52</v>
      </c>
      <c r="D31" s="107" t="s">
        <v>53</v>
      </c>
      <c r="E31" s="105"/>
      <c r="F31" s="108"/>
      <c r="G31" s="108"/>
      <c r="H31" s="86"/>
      <c r="I31" s="86"/>
    </row>
    <row r="32" spans="1:9" x14ac:dyDescent="0.25">
      <c r="A32" s="109"/>
      <c r="B32" s="109">
        <v>6413</v>
      </c>
      <c r="C32" s="110"/>
      <c r="D32" s="109" t="s">
        <v>59</v>
      </c>
      <c r="E32" s="112">
        <f>E33</f>
        <v>22.29</v>
      </c>
      <c r="F32" s="86">
        <f>F33</f>
        <v>30</v>
      </c>
      <c r="G32" s="86">
        <f>G33</f>
        <v>7.32</v>
      </c>
      <c r="H32" s="86">
        <f>H33</f>
        <v>32.839838492597579</v>
      </c>
      <c r="I32" s="86">
        <f t="shared" si="2"/>
        <v>24.400000000000002</v>
      </c>
    </row>
    <row r="33" spans="1:9" x14ac:dyDescent="0.25">
      <c r="A33" s="106"/>
      <c r="B33" s="109"/>
      <c r="C33" s="107">
        <v>31</v>
      </c>
      <c r="D33" s="107" t="s">
        <v>44</v>
      </c>
      <c r="E33" s="105">
        <v>22.29</v>
      </c>
      <c r="F33" s="108">
        <v>30</v>
      </c>
      <c r="G33" s="108">
        <v>7.32</v>
      </c>
      <c r="H33" s="86">
        <f t="shared" si="1"/>
        <v>32.839838492597579</v>
      </c>
      <c r="I33" s="86">
        <f t="shared" si="2"/>
        <v>24.400000000000002</v>
      </c>
    </row>
    <row r="34" spans="1:9" ht="63.75" customHeight="1" x14ac:dyDescent="0.25">
      <c r="A34" s="106"/>
      <c r="B34" s="109">
        <v>6526</v>
      </c>
      <c r="C34" s="107"/>
      <c r="D34" s="111" t="s">
        <v>60</v>
      </c>
      <c r="E34" s="86">
        <f>E35+E36</f>
        <v>4018</v>
      </c>
      <c r="F34" s="86">
        <f>F35+F36</f>
        <v>6000</v>
      </c>
      <c r="G34" s="86">
        <f>G35</f>
        <v>4349.1400000000003</v>
      </c>
      <c r="H34" s="86">
        <f>(G34/E34)*100</f>
        <v>108.24141363862618</v>
      </c>
      <c r="I34" s="86">
        <f>(G34/F34)*100</f>
        <v>72.485666666666674</v>
      </c>
    </row>
    <row r="35" spans="1:9" x14ac:dyDescent="0.25">
      <c r="A35" s="106"/>
      <c r="B35" s="109"/>
      <c r="C35" s="107">
        <v>43</v>
      </c>
      <c r="D35" s="107" t="s">
        <v>54</v>
      </c>
      <c r="E35" s="105">
        <v>4018</v>
      </c>
      <c r="F35" s="108">
        <v>6000</v>
      </c>
      <c r="G35" s="108">
        <v>4349.1400000000003</v>
      </c>
      <c r="H35" s="86">
        <f t="shared" si="1"/>
        <v>108.24141363862618</v>
      </c>
      <c r="I35" s="86">
        <f t="shared" si="2"/>
        <v>72.485666666666674</v>
      </c>
    </row>
    <row r="36" spans="1:9" x14ac:dyDescent="0.25">
      <c r="A36" s="106"/>
      <c r="B36" s="109"/>
      <c r="C36" s="107">
        <v>52</v>
      </c>
      <c r="D36" s="107" t="s">
        <v>53</v>
      </c>
      <c r="E36" s="105"/>
      <c r="F36" s="108"/>
      <c r="G36" s="108"/>
      <c r="H36" s="86"/>
      <c r="I36" s="86"/>
    </row>
    <row r="37" spans="1:9" ht="51" x14ac:dyDescent="0.25">
      <c r="A37" s="106"/>
      <c r="B37" s="109">
        <v>6615</v>
      </c>
      <c r="C37" s="107"/>
      <c r="D37" s="111" t="s">
        <v>61</v>
      </c>
      <c r="E37" s="86">
        <f>SUM(E38:E40)</f>
        <v>0</v>
      </c>
      <c r="F37" s="86">
        <f>SUM(F38:F40)</f>
        <v>0</v>
      </c>
      <c r="G37" s="86">
        <f>SUM(G38:G40)</f>
        <v>0</v>
      </c>
      <c r="H37" s="86">
        <v>0</v>
      </c>
      <c r="I37" s="86"/>
    </row>
    <row r="38" spans="1:9" x14ac:dyDescent="0.25">
      <c r="A38" s="106"/>
      <c r="B38" s="109"/>
      <c r="C38" s="107">
        <v>31</v>
      </c>
      <c r="D38" s="107" t="s">
        <v>44</v>
      </c>
      <c r="E38" s="105"/>
      <c r="F38" s="108"/>
      <c r="G38" s="108"/>
      <c r="H38" s="86">
        <v>0</v>
      </c>
      <c r="I38" s="86"/>
    </row>
    <row r="39" spans="1:9" x14ac:dyDescent="0.25">
      <c r="A39" s="106"/>
      <c r="B39" s="109"/>
      <c r="C39" s="107">
        <v>52</v>
      </c>
      <c r="D39" s="107" t="s">
        <v>53</v>
      </c>
      <c r="E39" s="105"/>
      <c r="F39" s="108"/>
      <c r="G39" s="108"/>
      <c r="H39" s="86">
        <v>0</v>
      </c>
      <c r="I39" s="86"/>
    </row>
    <row r="40" spans="1:9" x14ac:dyDescent="0.25">
      <c r="A40" s="106"/>
      <c r="B40" s="109"/>
      <c r="C40" s="107">
        <v>61</v>
      </c>
      <c r="D40" s="107" t="s">
        <v>58</v>
      </c>
      <c r="E40" s="105"/>
      <c r="F40" s="108">
        <v>0</v>
      </c>
      <c r="G40" s="108"/>
      <c r="H40" s="86">
        <v>0</v>
      </c>
      <c r="I40" s="86"/>
    </row>
    <row r="41" spans="1:9" x14ac:dyDescent="0.25">
      <c r="A41" s="106"/>
      <c r="B41" s="109">
        <v>6631</v>
      </c>
      <c r="C41" s="107"/>
      <c r="D41" s="109" t="s">
        <v>110</v>
      </c>
      <c r="E41" s="112">
        <f>E42</f>
        <v>500</v>
      </c>
      <c r="F41" s="112">
        <f t="shared" ref="F41:G41" si="4">F42</f>
        <v>0</v>
      </c>
      <c r="G41" s="112">
        <f t="shared" si="4"/>
        <v>550</v>
      </c>
      <c r="H41" s="86">
        <f>(G41/E41)*100</f>
        <v>110.00000000000001</v>
      </c>
      <c r="I41" s="86"/>
    </row>
    <row r="42" spans="1:9" x14ac:dyDescent="0.25">
      <c r="A42" s="106"/>
      <c r="B42" s="109"/>
      <c r="C42" s="107">
        <v>61</v>
      </c>
      <c r="D42" s="107" t="s">
        <v>58</v>
      </c>
      <c r="E42" s="105">
        <v>500</v>
      </c>
      <c r="F42" s="108"/>
      <c r="G42" s="108">
        <v>550</v>
      </c>
      <c r="H42" s="86">
        <f>(G42/E42)*100</f>
        <v>110.00000000000001</v>
      </c>
      <c r="I42" s="86"/>
    </row>
    <row r="43" spans="1:9" x14ac:dyDescent="0.25">
      <c r="A43" s="109"/>
      <c r="B43" s="109">
        <v>6632</v>
      </c>
      <c r="C43" s="110"/>
      <c r="D43" s="109" t="s">
        <v>74</v>
      </c>
      <c r="E43" s="86">
        <f>E44</f>
        <v>0</v>
      </c>
      <c r="F43" s="86">
        <f>F44</f>
        <v>0</v>
      </c>
      <c r="G43" s="86">
        <f>G44</f>
        <v>0</v>
      </c>
      <c r="H43" s="86">
        <v>0</v>
      </c>
      <c r="I43" s="86"/>
    </row>
    <row r="44" spans="1:9" x14ac:dyDescent="0.25">
      <c r="A44" s="106"/>
      <c r="B44" s="109"/>
      <c r="C44" s="107">
        <v>61</v>
      </c>
      <c r="D44" s="107" t="s">
        <v>58</v>
      </c>
      <c r="E44" s="105"/>
      <c r="F44" s="108"/>
      <c r="G44" s="108"/>
      <c r="H44" s="86">
        <v>0</v>
      </c>
      <c r="I44" s="86"/>
    </row>
    <row r="45" spans="1:9" ht="38.25" x14ac:dyDescent="0.25">
      <c r="A45" s="109"/>
      <c r="B45" s="109">
        <v>6711</v>
      </c>
      <c r="C45" s="110"/>
      <c r="D45" s="103" t="s">
        <v>75</v>
      </c>
      <c r="E45" s="86">
        <f>SUM(E46:E48)</f>
        <v>65799.62</v>
      </c>
      <c r="F45" s="86">
        <f>SUM(F46:F48)</f>
        <v>223097</v>
      </c>
      <c r="G45" s="86">
        <f>SUM(G46:G48)</f>
        <v>91180.09</v>
      </c>
      <c r="H45" s="86">
        <f t="shared" si="1"/>
        <v>138.57236561548532</v>
      </c>
      <c r="I45" s="86">
        <f t="shared" si="2"/>
        <v>40.870155134313777</v>
      </c>
    </row>
    <row r="46" spans="1:9" ht="25.5" x14ac:dyDescent="0.25">
      <c r="A46" s="106"/>
      <c r="B46" s="106"/>
      <c r="C46" s="107">
        <v>43</v>
      </c>
      <c r="D46" s="113" t="s">
        <v>54</v>
      </c>
      <c r="E46" s="105"/>
      <c r="F46" s="108"/>
      <c r="G46" s="108"/>
      <c r="H46" s="86"/>
      <c r="I46" s="86"/>
    </row>
    <row r="47" spans="1:9" x14ac:dyDescent="0.25">
      <c r="A47" s="106"/>
      <c r="B47" s="106"/>
      <c r="C47" s="107">
        <v>11</v>
      </c>
      <c r="D47" s="113" t="s">
        <v>18</v>
      </c>
      <c r="E47" s="105">
        <v>27214.62</v>
      </c>
      <c r="F47" s="108">
        <v>145512</v>
      </c>
      <c r="G47" s="108">
        <f>996+48966.09+728</f>
        <v>50690.09</v>
      </c>
      <c r="H47" s="86">
        <f t="shared" si="1"/>
        <v>186.26050997588794</v>
      </c>
      <c r="I47" s="86">
        <f t="shared" si="2"/>
        <v>34.835676782670845</v>
      </c>
    </row>
    <row r="48" spans="1:9" x14ac:dyDescent="0.25">
      <c r="A48" s="106"/>
      <c r="B48" s="106"/>
      <c r="C48" s="107">
        <v>44</v>
      </c>
      <c r="D48" s="113" t="s">
        <v>62</v>
      </c>
      <c r="E48" s="105">
        <v>38585</v>
      </c>
      <c r="F48" s="108">
        <v>77585</v>
      </c>
      <c r="G48" s="108">
        <v>40490</v>
      </c>
      <c r="H48" s="86">
        <f t="shared" si="1"/>
        <v>104.93715174290527</v>
      </c>
      <c r="I48" s="86">
        <f t="shared" si="2"/>
        <v>52.18792292324548</v>
      </c>
    </row>
    <row r="49" spans="1:9" ht="25.5" x14ac:dyDescent="0.25">
      <c r="A49" s="114">
        <v>7</v>
      </c>
      <c r="B49" s="115"/>
      <c r="C49" s="115"/>
      <c r="D49" s="116" t="s">
        <v>19</v>
      </c>
      <c r="E49" s="105"/>
      <c r="F49" s="108"/>
      <c r="G49" s="108"/>
      <c r="H49" s="86"/>
      <c r="I49" s="86"/>
    </row>
    <row r="50" spans="1:9" ht="38.25" x14ac:dyDescent="0.25">
      <c r="A50" s="104"/>
      <c r="B50" s="103">
        <v>72</v>
      </c>
      <c r="C50" s="104"/>
      <c r="D50" s="117" t="s">
        <v>51</v>
      </c>
      <c r="E50" s="105"/>
      <c r="F50" s="108"/>
      <c r="G50" s="108"/>
      <c r="H50" s="86"/>
      <c r="I50" s="86"/>
    </row>
    <row r="51" spans="1:9" x14ac:dyDescent="0.25">
      <c r="A51" s="104"/>
      <c r="B51" s="104"/>
      <c r="C51" s="107">
        <v>11</v>
      </c>
      <c r="D51" s="107" t="s">
        <v>18</v>
      </c>
      <c r="E51" s="105"/>
      <c r="F51" s="108"/>
      <c r="G51" s="108"/>
      <c r="H51" s="86"/>
      <c r="I51" s="86"/>
    </row>
    <row r="53" spans="1:9" ht="15.75" x14ac:dyDescent="0.25">
      <c r="A53" s="158" t="s">
        <v>20</v>
      </c>
      <c r="B53" s="182"/>
      <c r="C53" s="182"/>
      <c r="D53" s="182"/>
      <c r="E53" s="182"/>
      <c r="F53" s="182"/>
      <c r="G53" s="182"/>
      <c r="H53" s="182"/>
      <c r="I53" s="182"/>
    </row>
    <row r="54" spans="1:9" ht="18" x14ac:dyDescent="0.25">
      <c r="A54" s="26"/>
      <c r="B54" s="26"/>
      <c r="C54" s="26"/>
      <c r="D54" s="26"/>
      <c r="E54" s="26"/>
      <c r="F54" s="26"/>
      <c r="G54" s="26"/>
      <c r="H54" s="4"/>
      <c r="I54" s="4"/>
    </row>
    <row r="55" spans="1:9" x14ac:dyDescent="0.25">
      <c r="A55" s="95" t="s">
        <v>14</v>
      </c>
      <c r="B55" s="100" t="s">
        <v>15</v>
      </c>
      <c r="C55" s="100" t="s">
        <v>16</v>
      </c>
      <c r="D55" s="100" t="s">
        <v>21</v>
      </c>
      <c r="E55" s="150" t="s">
        <v>119</v>
      </c>
      <c r="F55" s="95" t="s">
        <v>153</v>
      </c>
      <c r="G55" s="95" t="s">
        <v>154</v>
      </c>
      <c r="H55" s="95" t="s">
        <v>108</v>
      </c>
      <c r="I55" s="95" t="s">
        <v>109</v>
      </c>
    </row>
    <row r="56" spans="1:9" ht="15.75" customHeight="1" x14ac:dyDescent="0.25">
      <c r="A56" s="103">
        <v>3</v>
      </c>
      <c r="B56" s="103"/>
      <c r="C56" s="103"/>
      <c r="D56" s="103" t="s">
        <v>22</v>
      </c>
      <c r="E56" s="86">
        <f>E57+E63+E69+E75+E81+E88+E95+E103+E111+E119+E127+E135+E143+E151+E159+E167+E175+E183+E191+E199+E215+E223+E231+E239+E247+E255+E263+E271+E279+E283+E287+E207</f>
        <v>1216472.4900000005</v>
      </c>
      <c r="F56" s="86">
        <f>F57+F63+F69+F75+F81+F88+F95+F103+F111+F119+F127+F135+F143+F151+F159+F167+F175+F183+F191+F199+F215+F223+F231+F239+F247+F255+F263+F271+F279+F283+F287+F207</f>
        <v>2982826.9999999995</v>
      </c>
      <c r="G56" s="86">
        <f>SUM(G57,G63,G69,G75,G81,G88,G95,G103,G111,G119,G127,G135,G143,G151,G159,G167,G175,G183,G199,G207,G215,G223,G231,G239,G247,G255,G271,G279,G287)</f>
        <v>1622736.9999999998</v>
      </c>
      <c r="H56" s="86">
        <f>(G56/E56)*100</f>
        <v>133.39693362075118</v>
      </c>
      <c r="I56" s="86">
        <f>(G56/F56)*100</f>
        <v>54.402652249024165</v>
      </c>
    </row>
    <row r="57" spans="1:9" ht="15.75" customHeight="1" x14ac:dyDescent="0.25">
      <c r="A57" s="103"/>
      <c r="B57" s="103">
        <v>3111</v>
      </c>
      <c r="C57" s="103"/>
      <c r="D57" s="103" t="s">
        <v>76</v>
      </c>
      <c r="E57" s="86">
        <f>SUM(E58:E62)</f>
        <v>877740.1</v>
      </c>
      <c r="F57" s="86">
        <f>SUM(F58:F62)</f>
        <v>2175644.6999999997</v>
      </c>
      <c r="G57" s="86">
        <f>SUM(G58:G62)</f>
        <v>1074706.7</v>
      </c>
      <c r="H57" s="86">
        <f t="shared" ref="H57:H119" si="5">(G57/E57)*100</f>
        <v>122.44019613550753</v>
      </c>
      <c r="I57" s="86">
        <f t="shared" ref="I57:I119" si="6">(G57/F57)*100</f>
        <v>49.397160299197758</v>
      </c>
    </row>
    <row r="58" spans="1:9" x14ac:dyDescent="0.25">
      <c r="A58" s="106"/>
      <c r="B58" s="106"/>
      <c r="C58" s="107">
        <v>11</v>
      </c>
      <c r="D58" s="107" t="s">
        <v>18</v>
      </c>
      <c r="E58" s="105">
        <f>15000.97+2394.84+841.19</f>
        <v>18236.999999999996</v>
      </c>
      <c r="F58" s="105">
        <f>59570.8+29871.3+9162.2+4550.2+3370</f>
        <v>106524.5</v>
      </c>
      <c r="G58" s="105">
        <f>1908.69+88676.25+624.91</f>
        <v>91209.85</v>
      </c>
      <c r="H58" s="86">
        <f t="shared" si="5"/>
        <v>500.13626144650993</v>
      </c>
      <c r="I58" s="86">
        <f t="shared" si="6"/>
        <v>85.623354251838776</v>
      </c>
    </row>
    <row r="59" spans="1:9" ht="25.5" x14ac:dyDescent="0.25">
      <c r="A59" s="106"/>
      <c r="B59" s="106"/>
      <c r="C59" s="107">
        <v>43</v>
      </c>
      <c r="D59" s="113" t="s">
        <v>54</v>
      </c>
      <c r="E59" s="105"/>
      <c r="F59" s="105"/>
      <c r="G59" s="105"/>
      <c r="H59" s="86"/>
      <c r="I59" s="86"/>
    </row>
    <row r="60" spans="1:9" x14ac:dyDescent="0.25">
      <c r="A60" s="106"/>
      <c r="B60" s="106"/>
      <c r="C60" s="107">
        <v>44</v>
      </c>
      <c r="D60" s="113" t="s">
        <v>62</v>
      </c>
      <c r="E60" s="105"/>
      <c r="F60" s="108"/>
      <c r="G60" s="108"/>
      <c r="H60" s="86"/>
      <c r="I60" s="86"/>
    </row>
    <row r="61" spans="1:9" x14ac:dyDescent="0.25">
      <c r="A61" s="106"/>
      <c r="B61" s="106"/>
      <c r="C61" s="107">
        <v>51</v>
      </c>
      <c r="D61" s="107" t="s">
        <v>57</v>
      </c>
      <c r="E61" s="105">
        <v>11535.15</v>
      </c>
      <c r="F61" s="105">
        <f>44131.42+21916.9</f>
        <v>66048.320000000007</v>
      </c>
      <c r="G61" s="105"/>
      <c r="H61" s="86">
        <f t="shared" si="5"/>
        <v>0</v>
      </c>
      <c r="I61" s="86">
        <f t="shared" si="6"/>
        <v>0</v>
      </c>
    </row>
    <row r="62" spans="1:9" x14ac:dyDescent="0.25">
      <c r="A62" s="106"/>
      <c r="B62" s="106"/>
      <c r="C62" s="107">
        <v>52</v>
      </c>
      <c r="D62" s="107" t="s">
        <v>53</v>
      </c>
      <c r="E62" s="105">
        <f>845932.33+2035.62</f>
        <v>847967.95</v>
      </c>
      <c r="F62" s="105">
        <f>1991416.3+7787.9+3867.68</f>
        <v>2003071.88</v>
      </c>
      <c r="G62" s="105">
        <f>963384.44+18613.52+1498.89</f>
        <v>983496.85</v>
      </c>
      <c r="H62" s="86">
        <f t="shared" si="5"/>
        <v>115.98278567014238</v>
      </c>
      <c r="I62" s="86">
        <f t="shared" si="6"/>
        <v>49.099428723446508</v>
      </c>
    </row>
    <row r="63" spans="1:9" ht="25.5" x14ac:dyDescent="0.25">
      <c r="A63" s="103"/>
      <c r="B63" s="103">
        <v>3113</v>
      </c>
      <c r="C63" s="103"/>
      <c r="D63" s="103" t="s">
        <v>113</v>
      </c>
      <c r="E63" s="86">
        <f>SUM(E64:E68)</f>
        <v>0</v>
      </c>
      <c r="F63" s="86">
        <f>SUM(F64:F68)</f>
        <v>0</v>
      </c>
      <c r="G63" s="86">
        <f>SUM(G64:G68)</f>
        <v>26226.5</v>
      </c>
      <c r="H63" s="86" t="e">
        <f t="shared" ref="H63" si="7">(G63/E63)*100</f>
        <v>#DIV/0!</v>
      </c>
      <c r="I63" s="86" t="e">
        <f t="shared" ref="I63" si="8">(G63/F63)*100</f>
        <v>#DIV/0!</v>
      </c>
    </row>
    <row r="64" spans="1:9" x14ac:dyDescent="0.25">
      <c r="A64" s="106"/>
      <c r="B64" s="106"/>
      <c r="C64" s="107">
        <v>11</v>
      </c>
      <c r="D64" s="107" t="s">
        <v>18</v>
      </c>
      <c r="E64" s="105"/>
      <c r="F64" s="108"/>
      <c r="G64" s="108"/>
      <c r="H64" s="86"/>
      <c r="I64" s="86"/>
    </row>
    <row r="65" spans="1:9" x14ac:dyDescent="0.25">
      <c r="A65" s="106"/>
      <c r="B65" s="106"/>
      <c r="C65" s="107">
        <v>31</v>
      </c>
      <c r="D65" s="113" t="s">
        <v>44</v>
      </c>
      <c r="E65" s="105"/>
      <c r="F65" s="105"/>
      <c r="G65" s="105"/>
      <c r="H65" s="86"/>
      <c r="I65" s="86"/>
    </row>
    <row r="66" spans="1:9" x14ac:dyDescent="0.25">
      <c r="A66" s="106"/>
      <c r="B66" s="106"/>
      <c r="C66" s="107">
        <v>44</v>
      </c>
      <c r="D66" s="113" t="s">
        <v>62</v>
      </c>
      <c r="E66" s="105"/>
      <c r="F66" s="108"/>
      <c r="G66" s="108"/>
      <c r="H66" s="86"/>
      <c r="I66" s="86"/>
    </row>
    <row r="67" spans="1:9" x14ac:dyDescent="0.25">
      <c r="A67" s="106"/>
      <c r="B67" s="106"/>
      <c r="C67" s="107">
        <v>51</v>
      </c>
      <c r="D67" s="107" t="s">
        <v>57</v>
      </c>
      <c r="E67" s="105"/>
      <c r="F67" s="108"/>
      <c r="G67" s="108"/>
      <c r="H67" s="86"/>
      <c r="I67" s="86"/>
    </row>
    <row r="68" spans="1:9" x14ac:dyDescent="0.25">
      <c r="A68" s="106"/>
      <c r="B68" s="106"/>
      <c r="C68" s="107">
        <v>52</v>
      </c>
      <c r="D68" s="107" t="s">
        <v>53</v>
      </c>
      <c r="E68" s="105"/>
      <c r="F68" s="105"/>
      <c r="G68" s="105">
        <v>26226.5</v>
      </c>
      <c r="H68" s="86"/>
      <c r="I68" s="86"/>
    </row>
    <row r="69" spans="1:9" ht="25.5" x14ac:dyDescent="0.25">
      <c r="A69" s="103"/>
      <c r="B69" s="103">
        <v>3114</v>
      </c>
      <c r="C69" s="103"/>
      <c r="D69" s="103" t="s">
        <v>114</v>
      </c>
      <c r="E69" s="86">
        <f>SUM(E70:E74)</f>
        <v>0</v>
      </c>
      <c r="F69" s="86">
        <f>SUM(F70:F74)</f>
        <v>0</v>
      </c>
      <c r="G69" s="86">
        <f>SUM(G70:G74)</f>
        <v>92217.18</v>
      </c>
      <c r="H69" s="86"/>
      <c r="I69" s="86"/>
    </row>
    <row r="70" spans="1:9" x14ac:dyDescent="0.25">
      <c r="A70" s="106"/>
      <c r="B70" s="106"/>
      <c r="C70" s="107">
        <v>11</v>
      </c>
      <c r="D70" s="107" t="s">
        <v>18</v>
      </c>
      <c r="E70" s="105"/>
      <c r="F70" s="108"/>
      <c r="G70" s="108"/>
      <c r="H70" s="86"/>
      <c r="I70" s="86"/>
    </row>
    <row r="71" spans="1:9" ht="25.5" x14ac:dyDescent="0.25">
      <c r="A71" s="106"/>
      <c r="B71" s="106"/>
      <c r="C71" s="107">
        <v>43</v>
      </c>
      <c r="D71" s="113" t="s">
        <v>54</v>
      </c>
      <c r="E71" s="105"/>
      <c r="F71" s="108"/>
      <c r="G71" s="108"/>
      <c r="H71" s="86"/>
      <c r="I71" s="86"/>
    </row>
    <row r="72" spans="1:9" x14ac:dyDescent="0.25">
      <c r="A72" s="106"/>
      <c r="B72" s="106"/>
      <c r="C72" s="107">
        <v>44</v>
      </c>
      <c r="D72" s="113" t="s">
        <v>62</v>
      </c>
      <c r="E72" s="105"/>
      <c r="F72" s="108"/>
      <c r="G72" s="108"/>
      <c r="H72" s="86"/>
      <c r="I72" s="86"/>
    </row>
    <row r="73" spans="1:9" x14ac:dyDescent="0.25">
      <c r="A73" s="106"/>
      <c r="B73" s="106"/>
      <c r="C73" s="107">
        <v>51</v>
      </c>
      <c r="D73" s="107" t="s">
        <v>57</v>
      </c>
      <c r="E73" s="105"/>
      <c r="F73" s="108"/>
      <c r="G73" s="108"/>
      <c r="H73" s="86"/>
      <c r="I73" s="86"/>
    </row>
    <row r="74" spans="1:9" x14ac:dyDescent="0.25">
      <c r="A74" s="106"/>
      <c r="B74" s="106"/>
      <c r="C74" s="107">
        <v>52</v>
      </c>
      <c r="D74" s="107" t="s">
        <v>53</v>
      </c>
      <c r="E74" s="105"/>
      <c r="F74" s="105"/>
      <c r="G74" s="105">
        <v>92217.18</v>
      </c>
      <c r="H74" s="86" t="e">
        <f t="shared" si="5"/>
        <v>#DIV/0!</v>
      </c>
      <c r="I74" s="86" t="e">
        <f t="shared" si="6"/>
        <v>#DIV/0!</v>
      </c>
    </row>
    <row r="75" spans="1:9" x14ac:dyDescent="0.25">
      <c r="A75" s="109"/>
      <c r="B75" s="109">
        <v>3121</v>
      </c>
      <c r="C75" s="109"/>
      <c r="D75" s="109" t="s">
        <v>77</v>
      </c>
      <c r="E75" s="86">
        <f>SUM(E76:E80)</f>
        <v>33750.57</v>
      </c>
      <c r="F75" s="86">
        <f>F76+F77+F78+F79+F80</f>
        <v>76314.42</v>
      </c>
      <c r="G75" s="86">
        <f>SUM(G76:G80)</f>
        <v>36165.760000000002</v>
      </c>
      <c r="H75" s="86">
        <f t="shared" si="5"/>
        <v>107.15599766166912</v>
      </c>
      <c r="I75" s="86">
        <f t="shared" si="6"/>
        <v>47.390466965483071</v>
      </c>
    </row>
    <row r="76" spans="1:9" x14ac:dyDescent="0.25">
      <c r="A76" s="106"/>
      <c r="B76" s="106"/>
      <c r="C76" s="107">
        <v>11</v>
      </c>
      <c r="D76" s="107" t="s">
        <v>18</v>
      </c>
      <c r="E76" s="105">
        <f>2000+300</f>
        <v>2300</v>
      </c>
      <c r="F76" s="105">
        <f>4300+2700+480+360</f>
        <v>7840</v>
      </c>
      <c r="G76" s="105">
        <f>4800+1700+220.72</f>
        <v>6720.72</v>
      </c>
      <c r="H76" s="86">
        <f t="shared" si="5"/>
        <v>292.20521739130436</v>
      </c>
      <c r="I76" s="86">
        <f t="shared" si="6"/>
        <v>85.723469387755102</v>
      </c>
    </row>
    <row r="77" spans="1:9" ht="25.5" x14ac:dyDescent="0.25">
      <c r="A77" s="106"/>
      <c r="B77" s="106"/>
      <c r="C77" s="107">
        <v>43</v>
      </c>
      <c r="D77" s="113" t="s">
        <v>54</v>
      </c>
      <c r="E77" s="105"/>
      <c r="F77" s="105"/>
      <c r="G77" s="105"/>
      <c r="H77" s="86"/>
      <c r="I77" s="86"/>
    </row>
    <row r="78" spans="1:9" x14ac:dyDescent="0.25">
      <c r="A78" s="106"/>
      <c r="B78" s="106"/>
      <c r="C78" s="107">
        <v>44</v>
      </c>
      <c r="D78" s="113" t="s">
        <v>62</v>
      </c>
      <c r="E78" s="105"/>
      <c r="F78" s="105"/>
      <c r="G78" s="105"/>
      <c r="H78" s="86"/>
      <c r="I78" s="86"/>
    </row>
    <row r="79" spans="1:9" x14ac:dyDescent="0.25">
      <c r="A79" s="106"/>
      <c r="B79" s="106"/>
      <c r="C79" s="107">
        <v>51</v>
      </c>
      <c r="D79" s="107" t="s">
        <v>57</v>
      </c>
      <c r="E79" s="105">
        <v>1445</v>
      </c>
      <c r="F79" s="105">
        <f>2312+3616.25</f>
        <v>5928.25</v>
      </c>
      <c r="G79" s="105">
        <v>0</v>
      </c>
      <c r="H79" s="86">
        <f t="shared" ref="H79" si="9">(G79/E79)*100</f>
        <v>0</v>
      </c>
      <c r="I79" s="86">
        <f t="shared" ref="I79" si="10">(G79/F79)*100</f>
        <v>0</v>
      </c>
    </row>
    <row r="80" spans="1:9" x14ac:dyDescent="0.25">
      <c r="A80" s="106"/>
      <c r="B80" s="106"/>
      <c r="C80" s="107">
        <v>52</v>
      </c>
      <c r="D80" s="107" t="s">
        <v>53</v>
      </c>
      <c r="E80" s="105">
        <f>29750.57+255</f>
        <v>30005.57</v>
      </c>
      <c r="F80" s="105">
        <f>61500+408+638.17</f>
        <v>62546.17</v>
      </c>
      <c r="G80" s="105">
        <f>1545.04+20400+7500</f>
        <v>29445.040000000001</v>
      </c>
      <c r="H80" s="86">
        <f t="shared" si="5"/>
        <v>98.131913508058673</v>
      </c>
      <c r="I80" s="86">
        <f t="shared" si="6"/>
        <v>47.077287066498243</v>
      </c>
    </row>
    <row r="81" spans="1:9" ht="25.5" x14ac:dyDescent="0.25">
      <c r="A81" s="109"/>
      <c r="B81" s="109">
        <v>3132</v>
      </c>
      <c r="C81" s="110"/>
      <c r="D81" s="111" t="s">
        <v>78</v>
      </c>
      <c r="E81" s="86">
        <f>SUM(E82:E87)</f>
        <v>137908.46000000002</v>
      </c>
      <c r="F81" s="86">
        <f>SUM(F82:F87)</f>
        <v>356760.88</v>
      </c>
      <c r="G81" s="86">
        <f>SUM(G82:G87)</f>
        <v>191176.81</v>
      </c>
      <c r="H81" s="86">
        <f t="shared" si="5"/>
        <v>138.62587545390613</v>
      </c>
      <c r="I81" s="86">
        <f t="shared" si="6"/>
        <v>53.58681983293684</v>
      </c>
    </row>
    <row r="82" spans="1:9" x14ac:dyDescent="0.25">
      <c r="A82" s="106"/>
      <c r="B82" s="106"/>
      <c r="C82" s="107">
        <v>11</v>
      </c>
      <c r="D82" s="107" t="s">
        <v>18</v>
      </c>
      <c r="E82" s="105">
        <f>2475.19+395.15+138.8</f>
        <v>3009.1400000000003</v>
      </c>
      <c r="F82" s="105">
        <f>9829.2+4928.7+1511.8+750.8+550</f>
        <v>17570.5</v>
      </c>
      <c r="G82" s="105">
        <f>14946.53+103.09</f>
        <v>15049.62</v>
      </c>
      <c r="H82" s="86">
        <f t="shared" si="5"/>
        <v>500.13026977807613</v>
      </c>
      <c r="I82" s="86">
        <f t="shared" si="6"/>
        <v>85.652770268347524</v>
      </c>
    </row>
    <row r="83" spans="1:9" x14ac:dyDescent="0.25">
      <c r="A83" s="106"/>
      <c r="B83" s="106"/>
      <c r="C83" s="107">
        <v>31</v>
      </c>
      <c r="D83" s="107" t="s">
        <v>44</v>
      </c>
      <c r="E83" s="105"/>
      <c r="F83" s="105"/>
      <c r="G83" s="105"/>
      <c r="H83" s="86"/>
      <c r="I83" s="86"/>
    </row>
    <row r="84" spans="1:9" ht="25.5" x14ac:dyDescent="0.25">
      <c r="A84" s="106"/>
      <c r="B84" s="106"/>
      <c r="C84" s="107">
        <v>43</v>
      </c>
      <c r="D84" s="113" t="s">
        <v>54</v>
      </c>
      <c r="E84" s="105"/>
      <c r="F84" s="105"/>
      <c r="G84" s="105"/>
      <c r="H84" s="86"/>
      <c r="I84" s="86"/>
    </row>
    <row r="85" spans="1:9" x14ac:dyDescent="0.25">
      <c r="A85" s="106"/>
      <c r="B85" s="106"/>
      <c r="C85" s="107">
        <v>44</v>
      </c>
      <c r="D85" s="113" t="s">
        <v>62</v>
      </c>
      <c r="E85" s="105"/>
      <c r="F85" s="105"/>
      <c r="G85" s="105"/>
      <c r="H85" s="86"/>
      <c r="I85" s="86"/>
    </row>
    <row r="86" spans="1:9" x14ac:dyDescent="0.25">
      <c r="A86" s="106"/>
      <c r="B86" s="106"/>
      <c r="C86" s="107">
        <v>51</v>
      </c>
      <c r="D86" s="107" t="s">
        <v>57</v>
      </c>
      <c r="E86" s="105">
        <v>1903.31</v>
      </c>
      <c r="F86" s="105">
        <f>7281.68+1734</f>
        <v>9015.68</v>
      </c>
      <c r="G86" s="105">
        <v>0</v>
      </c>
      <c r="H86" s="86">
        <f t="shared" si="5"/>
        <v>0</v>
      </c>
      <c r="I86" s="86">
        <f t="shared" si="6"/>
        <v>0</v>
      </c>
    </row>
    <row r="87" spans="1:9" x14ac:dyDescent="0.25">
      <c r="A87" s="106"/>
      <c r="B87" s="106"/>
      <c r="C87" s="107">
        <v>52</v>
      </c>
      <c r="D87" s="107" t="s">
        <v>53</v>
      </c>
      <c r="E87" s="105">
        <f>132660.13+335.88</f>
        <v>132996.01</v>
      </c>
      <c r="F87" s="105">
        <f>328583.7+1285+306</f>
        <v>330174.7</v>
      </c>
      <c r="G87" s="105">
        <f>176014.76+112.43</f>
        <v>176127.19</v>
      </c>
      <c r="H87" s="86">
        <f t="shared" si="5"/>
        <v>132.43043155956332</v>
      </c>
      <c r="I87" s="86">
        <f t="shared" si="6"/>
        <v>53.343635959993293</v>
      </c>
    </row>
    <row r="88" spans="1:9" ht="38.25" x14ac:dyDescent="0.25">
      <c r="A88" s="109"/>
      <c r="B88" s="109">
        <v>3133</v>
      </c>
      <c r="C88" s="110"/>
      <c r="D88" s="111" t="s">
        <v>118</v>
      </c>
      <c r="E88" s="86">
        <f>SUM(E89:E94)</f>
        <v>0</v>
      </c>
      <c r="F88" s="86">
        <f>SUM(F89:F94)</f>
        <v>0</v>
      </c>
      <c r="G88" s="86">
        <f>SUM(G89:G94)</f>
        <v>0</v>
      </c>
      <c r="H88" s="86"/>
      <c r="I88" s="86"/>
    </row>
    <row r="89" spans="1:9" x14ac:dyDescent="0.25">
      <c r="A89" s="106"/>
      <c r="B89" s="106"/>
      <c r="C89" s="107">
        <v>11</v>
      </c>
      <c r="D89" s="107" t="s">
        <v>18</v>
      </c>
      <c r="E89" s="105"/>
      <c r="F89" s="108"/>
      <c r="G89" s="108"/>
      <c r="H89" s="86"/>
      <c r="I89" s="86"/>
    </row>
    <row r="90" spans="1:9" x14ac:dyDescent="0.25">
      <c r="A90" s="106"/>
      <c r="B90" s="106"/>
      <c r="C90" s="107">
        <v>31</v>
      </c>
      <c r="D90" s="107" t="s">
        <v>44</v>
      </c>
      <c r="E90" s="105"/>
      <c r="F90" s="108"/>
      <c r="G90" s="108"/>
      <c r="H90" s="86"/>
      <c r="I90" s="86"/>
    </row>
    <row r="91" spans="1:9" ht="25.5" x14ac:dyDescent="0.25">
      <c r="A91" s="106"/>
      <c r="B91" s="106"/>
      <c r="C91" s="107">
        <v>43</v>
      </c>
      <c r="D91" s="113" t="s">
        <v>54</v>
      </c>
      <c r="E91" s="105"/>
      <c r="F91" s="108"/>
      <c r="G91" s="108"/>
      <c r="H91" s="86"/>
      <c r="I91" s="86"/>
    </row>
    <row r="92" spans="1:9" x14ac:dyDescent="0.25">
      <c r="A92" s="106"/>
      <c r="B92" s="106"/>
      <c r="C92" s="107">
        <v>44</v>
      </c>
      <c r="D92" s="113" t="s">
        <v>62</v>
      </c>
      <c r="E92" s="105"/>
      <c r="F92" s="108"/>
      <c r="G92" s="108"/>
      <c r="H92" s="86"/>
      <c r="I92" s="86"/>
    </row>
    <row r="93" spans="1:9" x14ac:dyDescent="0.25">
      <c r="A93" s="106"/>
      <c r="B93" s="106"/>
      <c r="C93" s="107">
        <v>51</v>
      </c>
      <c r="D93" s="107" t="s">
        <v>57</v>
      </c>
      <c r="E93" s="105"/>
      <c r="F93" s="108"/>
      <c r="G93" s="108"/>
      <c r="H93" s="86"/>
      <c r="I93" s="86"/>
    </row>
    <row r="94" spans="1:9" x14ac:dyDescent="0.25">
      <c r="A94" s="106"/>
      <c r="B94" s="106"/>
      <c r="C94" s="107">
        <v>52</v>
      </c>
      <c r="D94" s="107" t="s">
        <v>53</v>
      </c>
      <c r="E94" s="105"/>
      <c r="F94" s="105"/>
      <c r="G94" s="105"/>
      <c r="H94" s="86"/>
      <c r="I94" s="86"/>
    </row>
    <row r="95" spans="1:9" x14ac:dyDescent="0.25">
      <c r="A95" s="109"/>
      <c r="B95" s="109">
        <v>3211</v>
      </c>
      <c r="C95" s="110"/>
      <c r="D95" s="109" t="s">
        <v>79</v>
      </c>
      <c r="E95" s="86">
        <f>SUM(E96:E102)</f>
        <v>2516.4499999999998</v>
      </c>
      <c r="F95" s="86">
        <f>SUM(F96:F102)</f>
        <v>4600</v>
      </c>
      <c r="G95" s="86">
        <f>SUM(G96:G102)</f>
        <v>2079.1</v>
      </c>
      <c r="H95" s="86">
        <f t="shared" si="5"/>
        <v>82.620358044070016</v>
      </c>
      <c r="I95" s="86">
        <f t="shared" si="6"/>
        <v>45.197826086956525</v>
      </c>
    </row>
    <row r="96" spans="1:9" x14ac:dyDescent="0.25">
      <c r="A96" s="106"/>
      <c r="B96" s="106"/>
      <c r="C96" s="107">
        <v>11</v>
      </c>
      <c r="D96" s="107" t="s">
        <v>18</v>
      </c>
      <c r="E96" s="105">
        <v>0</v>
      </c>
      <c r="F96" s="108">
        <v>0</v>
      </c>
      <c r="G96" s="108">
        <v>60</v>
      </c>
      <c r="H96" s="86" t="e">
        <f t="shared" si="5"/>
        <v>#DIV/0!</v>
      </c>
      <c r="I96" s="86" t="e">
        <f t="shared" si="6"/>
        <v>#DIV/0!</v>
      </c>
    </row>
    <row r="97" spans="1:9" x14ac:dyDescent="0.25">
      <c r="A97" s="106"/>
      <c r="B97" s="106"/>
      <c r="C97" s="107">
        <v>31</v>
      </c>
      <c r="D97" s="107" t="s">
        <v>44</v>
      </c>
      <c r="E97" s="105"/>
      <c r="F97" s="108"/>
      <c r="G97" s="108"/>
      <c r="H97" s="86"/>
      <c r="I97" s="86"/>
    </row>
    <row r="98" spans="1:9" ht="25.5" x14ac:dyDescent="0.25">
      <c r="A98" s="106"/>
      <c r="B98" s="106"/>
      <c r="C98" s="107">
        <v>43</v>
      </c>
      <c r="D98" s="113" t="s">
        <v>54</v>
      </c>
      <c r="E98" s="105"/>
      <c r="F98" s="108"/>
      <c r="G98" s="108"/>
      <c r="H98" s="86"/>
      <c r="I98" s="86"/>
    </row>
    <row r="99" spans="1:9" x14ac:dyDescent="0.25">
      <c r="A99" s="106"/>
      <c r="B99" s="106"/>
      <c r="C99" s="107">
        <v>44</v>
      </c>
      <c r="D99" s="107" t="s">
        <v>62</v>
      </c>
      <c r="E99" s="105">
        <v>2516.4499999999998</v>
      </c>
      <c r="F99" s="105">
        <v>4600</v>
      </c>
      <c r="G99" s="105">
        <v>2019.1</v>
      </c>
      <c r="H99" s="86">
        <f>(G99/E99)*100</f>
        <v>80.236046811977189</v>
      </c>
      <c r="I99" s="86">
        <f>(G99/F99)*100</f>
        <v>43.893478260869564</v>
      </c>
    </row>
    <row r="100" spans="1:9" x14ac:dyDescent="0.25">
      <c r="A100" s="106"/>
      <c r="B100" s="106"/>
      <c r="C100" s="107">
        <v>51</v>
      </c>
      <c r="D100" s="107" t="s">
        <v>57</v>
      </c>
      <c r="E100" s="105"/>
      <c r="F100" s="108"/>
      <c r="G100" s="108"/>
      <c r="H100" s="86"/>
      <c r="I100" s="86"/>
    </row>
    <row r="101" spans="1:9" x14ac:dyDescent="0.25">
      <c r="A101" s="106"/>
      <c r="B101" s="106"/>
      <c r="C101" s="107">
        <v>52</v>
      </c>
      <c r="D101" s="107" t="s">
        <v>53</v>
      </c>
      <c r="E101" s="105"/>
      <c r="F101" s="108"/>
      <c r="G101" s="108"/>
      <c r="H101" s="86"/>
      <c r="I101" s="86"/>
    </row>
    <row r="102" spans="1:9" x14ac:dyDescent="0.25">
      <c r="A102" s="106"/>
      <c r="B102" s="106"/>
      <c r="C102" s="107">
        <v>61</v>
      </c>
      <c r="D102" s="107" t="s">
        <v>58</v>
      </c>
      <c r="E102" s="105"/>
      <c r="F102" s="108"/>
      <c r="G102" s="108"/>
      <c r="H102" s="86"/>
      <c r="I102" s="86"/>
    </row>
    <row r="103" spans="1:9" x14ac:dyDescent="0.25">
      <c r="A103" s="109"/>
      <c r="B103" s="109">
        <v>3212</v>
      </c>
      <c r="C103" s="110"/>
      <c r="D103" s="109" t="s">
        <v>80</v>
      </c>
      <c r="E103" s="86">
        <f>SUM(E104:E110)</f>
        <v>70516.840000000011</v>
      </c>
      <c r="F103" s="86">
        <f>SUM(F104:F110)</f>
        <v>158600</v>
      </c>
      <c r="G103" s="86">
        <f>SUM(G104:G110)</f>
        <v>81186.92</v>
      </c>
      <c r="H103" s="86">
        <f t="shared" si="5"/>
        <v>115.13125091822036</v>
      </c>
      <c r="I103" s="86">
        <f t="shared" si="6"/>
        <v>51.189735182849937</v>
      </c>
    </row>
    <row r="104" spans="1:9" x14ac:dyDescent="0.25">
      <c r="A104" s="106"/>
      <c r="B104" s="106"/>
      <c r="C104" s="107">
        <v>11</v>
      </c>
      <c r="D104" s="107" t="s">
        <v>18</v>
      </c>
      <c r="E104" s="105">
        <f>1741.42+164.32</f>
        <v>1905.74</v>
      </c>
      <c r="F104" s="105">
        <f>3400+1700+351+174</f>
        <v>5625</v>
      </c>
      <c r="G104" s="105">
        <v>4760.97</v>
      </c>
      <c r="H104" s="86">
        <f t="shared" si="5"/>
        <v>249.8226410738086</v>
      </c>
      <c r="I104" s="86">
        <f t="shared" si="6"/>
        <v>84.639466666666678</v>
      </c>
    </row>
    <row r="105" spans="1:9" x14ac:dyDescent="0.25">
      <c r="A105" s="106"/>
      <c r="B105" s="106"/>
      <c r="C105" s="107">
        <v>31</v>
      </c>
      <c r="D105" s="107" t="s">
        <v>44</v>
      </c>
      <c r="E105" s="105"/>
      <c r="F105" s="108"/>
      <c r="G105" s="108"/>
      <c r="H105" s="86"/>
      <c r="I105" s="86"/>
    </row>
    <row r="106" spans="1:9" ht="25.5" x14ac:dyDescent="0.25">
      <c r="A106" s="106"/>
      <c r="B106" s="106"/>
      <c r="C106" s="107">
        <v>43</v>
      </c>
      <c r="D106" s="113" t="s">
        <v>54</v>
      </c>
      <c r="E106" s="105"/>
      <c r="F106" s="105"/>
      <c r="G106" s="105"/>
      <c r="H106" s="86"/>
      <c r="I106" s="86"/>
    </row>
    <row r="107" spans="1:9" x14ac:dyDescent="0.25">
      <c r="A107" s="106"/>
      <c r="B107" s="106"/>
      <c r="C107" s="107">
        <v>44</v>
      </c>
      <c r="D107" s="107" t="s">
        <v>62</v>
      </c>
      <c r="E107" s="105"/>
      <c r="F107" s="108"/>
      <c r="G107" s="108"/>
      <c r="H107" s="86"/>
      <c r="I107" s="86"/>
    </row>
    <row r="108" spans="1:9" x14ac:dyDescent="0.25">
      <c r="A108" s="106"/>
      <c r="B108" s="106"/>
      <c r="C108" s="107">
        <v>51</v>
      </c>
      <c r="D108" s="107" t="s">
        <v>57</v>
      </c>
      <c r="E108" s="105">
        <v>791.42</v>
      </c>
      <c r="F108" s="105">
        <f>1690.65+838.1</f>
        <v>2528.75</v>
      </c>
      <c r="G108" s="105">
        <v>0</v>
      </c>
      <c r="H108" s="86">
        <f>(G108/E108)*100</f>
        <v>0</v>
      </c>
      <c r="I108" s="86">
        <f t="shared" si="6"/>
        <v>0</v>
      </c>
    </row>
    <row r="109" spans="1:9" x14ac:dyDescent="0.25">
      <c r="A109" s="106"/>
      <c r="B109" s="106"/>
      <c r="C109" s="107">
        <v>52</v>
      </c>
      <c r="D109" s="107" t="s">
        <v>53</v>
      </c>
      <c r="E109" s="105">
        <f>67680.02+139.66</f>
        <v>67819.680000000008</v>
      </c>
      <c r="F109" s="105">
        <f>150000+298.35+147.9</f>
        <v>150446.25</v>
      </c>
      <c r="G109" s="105">
        <v>76425.95</v>
      </c>
      <c r="H109" s="86">
        <f t="shared" si="5"/>
        <v>112.68993012057855</v>
      </c>
      <c r="I109" s="86">
        <f t="shared" si="6"/>
        <v>50.799504806533889</v>
      </c>
    </row>
    <row r="110" spans="1:9" x14ac:dyDescent="0.25">
      <c r="A110" s="106"/>
      <c r="B110" s="106"/>
      <c r="C110" s="107">
        <v>61</v>
      </c>
      <c r="D110" s="107" t="s">
        <v>58</v>
      </c>
      <c r="E110" s="105"/>
      <c r="F110" s="108"/>
      <c r="G110" s="108"/>
      <c r="H110" s="86"/>
      <c r="I110" s="86"/>
    </row>
    <row r="111" spans="1:9" ht="25.5" x14ac:dyDescent="0.25">
      <c r="A111" s="109"/>
      <c r="B111" s="109">
        <v>3213</v>
      </c>
      <c r="C111" s="110"/>
      <c r="D111" s="111" t="s">
        <v>81</v>
      </c>
      <c r="E111" s="86">
        <f>SUM(E112:E118)</f>
        <v>610</v>
      </c>
      <c r="F111" s="86">
        <f>SUM(F112:F118)</f>
        <v>900</v>
      </c>
      <c r="G111" s="86">
        <f>SUM(G112:G118)</f>
        <v>850</v>
      </c>
      <c r="H111" s="86">
        <f t="shared" si="5"/>
        <v>139.34426229508196</v>
      </c>
      <c r="I111" s="86">
        <f t="shared" si="6"/>
        <v>94.444444444444443</v>
      </c>
    </row>
    <row r="112" spans="1:9" x14ac:dyDescent="0.25">
      <c r="A112" s="106"/>
      <c r="B112" s="106"/>
      <c r="C112" s="107">
        <v>11</v>
      </c>
      <c r="D112" s="107" t="s">
        <v>18</v>
      </c>
      <c r="E112" s="105"/>
      <c r="F112" s="108"/>
      <c r="G112" s="108"/>
      <c r="H112" s="86"/>
      <c r="I112" s="86"/>
    </row>
    <row r="113" spans="1:9" x14ac:dyDescent="0.25">
      <c r="A113" s="106"/>
      <c r="B113" s="106"/>
      <c r="C113" s="107">
        <v>31</v>
      </c>
      <c r="D113" s="107" t="s">
        <v>44</v>
      </c>
      <c r="E113" s="105"/>
      <c r="F113" s="108"/>
      <c r="G113" s="108"/>
      <c r="H113" s="86"/>
      <c r="I113" s="86"/>
    </row>
    <row r="114" spans="1:9" ht="25.5" x14ac:dyDescent="0.25">
      <c r="A114" s="106"/>
      <c r="B114" s="106"/>
      <c r="C114" s="107">
        <v>43</v>
      </c>
      <c r="D114" s="113" t="s">
        <v>54</v>
      </c>
      <c r="E114" s="105"/>
      <c r="F114" s="108"/>
      <c r="G114" s="108"/>
      <c r="H114" s="86"/>
      <c r="I114" s="86"/>
    </row>
    <row r="115" spans="1:9" ht="14.25" customHeight="1" x14ac:dyDescent="0.25">
      <c r="A115" s="106"/>
      <c r="B115" s="106"/>
      <c r="C115" s="107">
        <v>44</v>
      </c>
      <c r="D115" s="107" t="s">
        <v>62</v>
      </c>
      <c r="E115" s="105">
        <v>610</v>
      </c>
      <c r="F115" s="105">
        <v>900</v>
      </c>
      <c r="G115" s="105">
        <v>850</v>
      </c>
      <c r="H115" s="86">
        <f>(G115/E115)*100</f>
        <v>139.34426229508196</v>
      </c>
      <c r="I115" s="86">
        <f>(G115/F115)*100</f>
        <v>94.444444444444443</v>
      </c>
    </row>
    <row r="116" spans="1:9" x14ac:dyDescent="0.25">
      <c r="A116" s="106"/>
      <c r="B116" s="106"/>
      <c r="C116" s="107">
        <v>51</v>
      </c>
      <c r="D116" s="107" t="s">
        <v>57</v>
      </c>
      <c r="E116" s="105"/>
      <c r="F116" s="108"/>
      <c r="G116" s="108"/>
      <c r="H116" s="86"/>
      <c r="I116" s="86"/>
    </row>
    <row r="117" spans="1:9" x14ac:dyDescent="0.25">
      <c r="A117" s="106"/>
      <c r="B117" s="106"/>
      <c r="C117" s="107">
        <v>52</v>
      </c>
      <c r="D117" s="107" t="s">
        <v>53</v>
      </c>
      <c r="E117" s="105"/>
      <c r="F117" s="108"/>
      <c r="G117" s="108"/>
      <c r="H117" s="86"/>
      <c r="I117" s="86"/>
    </row>
    <row r="118" spans="1:9" x14ac:dyDescent="0.25">
      <c r="A118" s="106"/>
      <c r="B118" s="106"/>
      <c r="C118" s="107">
        <v>61</v>
      </c>
      <c r="D118" s="107" t="s">
        <v>58</v>
      </c>
      <c r="E118" s="105"/>
      <c r="F118" s="108"/>
      <c r="G118" s="108"/>
      <c r="H118" s="86"/>
      <c r="I118" s="86"/>
    </row>
    <row r="119" spans="1:9" ht="25.5" x14ac:dyDescent="0.25">
      <c r="A119" s="109"/>
      <c r="B119" s="109">
        <v>3214</v>
      </c>
      <c r="C119" s="110"/>
      <c r="D119" s="111" t="s">
        <v>82</v>
      </c>
      <c r="E119" s="86">
        <f>SUM(E120:E126)</f>
        <v>2365.2199999999998</v>
      </c>
      <c r="F119" s="86">
        <f>SUM(F120:F126)</f>
        <v>4200</v>
      </c>
      <c r="G119" s="86">
        <f>SUM(G120:G126)</f>
        <v>2568.2399999999998</v>
      </c>
      <c r="H119" s="86">
        <f t="shared" si="5"/>
        <v>108.58355670931246</v>
      </c>
      <c r="I119" s="86">
        <f t="shared" si="6"/>
        <v>61.148571428571415</v>
      </c>
    </row>
    <row r="120" spans="1:9" x14ac:dyDescent="0.25">
      <c r="A120" s="106"/>
      <c r="B120" s="106"/>
      <c r="C120" s="107">
        <v>11</v>
      </c>
      <c r="D120" s="107" t="s">
        <v>18</v>
      </c>
      <c r="E120" s="105"/>
      <c r="F120" s="108"/>
      <c r="G120" s="108"/>
      <c r="H120" s="86"/>
      <c r="I120" s="86"/>
    </row>
    <row r="121" spans="1:9" x14ac:dyDescent="0.25">
      <c r="A121" s="106"/>
      <c r="B121" s="106"/>
      <c r="C121" s="107">
        <v>31</v>
      </c>
      <c r="D121" s="107" t="s">
        <v>44</v>
      </c>
      <c r="E121" s="105"/>
      <c r="F121" s="108"/>
      <c r="G121" s="108"/>
      <c r="H121" s="86"/>
      <c r="I121" s="86"/>
    </row>
    <row r="122" spans="1:9" ht="25.5" x14ac:dyDescent="0.25">
      <c r="A122" s="106"/>
      <c r="B122" s="106"/>
      <c r="C122" s="107">
        <v>43</v>
      </c>
      <c r="D122" s="113" t="s">
        <v>54</v>
      </c>
      <c r="E122" s="105"/>
      <c r="F122" s="108"/>
      <c r="G122" s="108"/>
      <c r="H122" s="86"/>
      <c r="I122" s="86"/>
    </row>
    <row r="123" spans="1:9" x14ac:dyDescent="0.25">
      <c r="A123" s="106"/>
      <c r="B123" s="106"/>
      <c r="C123" s="107">
        <v>44</v>
      </c>
      <c r="D123" s="107" t="s">
        <v>62</v>
      </c>
      <c r="E123" s="105">
        <v>2365.2199999999998</v>
      </c>
      <c r="F123" s="105">
        <v>4200</v>
      </c>
      <c r="G123" s="105">
        <v>2568.2399999999998</v>
      </c>
      <c r="H123" s="86">
        <f>(G123/E123)*100</f>
        <v>108.58355670931246</v>
      </c>
      <c r="I123" s="86">
        <f>(G123/F123)*100</f>
        <v>61.148571428571415</v>
      </c>
    </row>
    <row r="124" spans="1:9" x14ac:dyDescent="0.25">
      <c r="A124" s="106"/>
      <c r="B124" s="106"/>
      <c r="C124" s="107">
        <v>51</v>
      </c>
      <c r="D124" s="107" t="s">
        <v>57</v>
      </c>
      <c r="E124" s="105"/>
      <c r="F124" s="108"/>
      <c r="G124" s="108"/>
      <c r="H124" s="86"/>
      <c r="I124" s="86"/>
    </row>
    <row r="125" spans="1:9" x14ac:dyDescent="0.25">
      <c r="A125" s="106"/>
      <c r="B125" s="106"/>
      <c r="C125" s="107">
        <v>52</v>
      </c>
      <c r="D125" s="107" t="s">
        <v>53</v>
      </c>
      <c r="E125" s="105"/>
      <c r="F125" s="108"/>
      <c r="G125" s="108"/>
      <c r="H125" s="86"/>
      <c r="I125" s="86"/>
    </row>
    <row r="126" spans="1:9" x14ac:dyDescent="0.25">
      <c r="A126" s="106"/>
      <c r="B126" s="106"/>
      <c r="C126" s="107">
        <v>61</v>
      </c>
      <c r="D126" s="107" t="s">
        <v>58</v>
      </c>
      <c r="E126" s="105"/>
      <c r="F126" s="108"/>
      <c r="G126" s="108"/>
      <c r="H126" s="86"/>
      <c r="I126" s="86"/>
    </row>
    <row r="127" spans="1:9" ht="25.5" x14ac:dyDescent="0.25">
      <c r="A127" s="109"/>
      <c r="B127" s="109">
        <v>3221</v>
      </c>
      <c r="C127" s="110"/>
      <c r="D127" s="111" t="s">
        <v>83</v>
      </c>
      <c r="E127" s="86">
        <f>SUM(E128:E134)</f>
        <v>5264.5599999999995</v>
      </c>
      <c r="F127" s="86">
        <f>SUM(F128:F134)</f>
        <v>7900</v>
      </c>
      <c r="G127" s="86">
        <f>SUM(G128:G134)</f>
        <v>6770.4800000000005</v>
      </c>
      <c r="H127" s="86">
        <f t="shared" ref="H127:H138" si="11">(G127/E127)*100</f>
        <v>128.60485966538516</v>
      </c>
      <c r="I127" s="86">
        <f t="shared" ref="I127" si="12">(G127/F127)*100</f>
        <v>85.702278481012655</v>
      </c>
    </row>
    <row r="128" spans="1:9" x14ac:dyDescent="0.25">
      <c r="A128" s="106"/>
      <c r="B128" s="106"/>
      <c r="C128" s="107">
        <v>11</v>
      </c>
      <c r="D128" s="107" t="s">
        <v>18</v>
      </c>
      <c r="E128" s="105"/>
      <c r="F128" s="108"/>
      <c r="G128" s="108"/>
      <c r="H128" s="86"/>
      <c r="I128" s="86"/>
    </row>
    <row r="129" spans="1:9" x14ac:dyDescent="0.25">
      <c r="A129" s="106"/>
      <c r="B129" s="106"/>
      <c r="C129" s="107">
        <v>31</v>
      </c>
      <c r="D129" s="107" t="s">
        <v>44</v>
      </c>
      <c r="E129" s="105"/>
      <c r="F129" s="105"/>
      <c r="G129" s="105"/>
      <c r="H129" s="86"/>
      <c r="I129" s="86"/>
    </row>
    <row r="130" spans="1:9" ht="25.5" x14ac:dyDescent="0.25">
      <c r="A130" s="106"/>
      <c r="B130" s="106"/>
      <c r="C130" s="107">
        <v>43</v>
      </c>
      <c r="D130" s="113" t="s">
        <v>54</v>
      </c>
      <c r="E130" s="105"/>
      <c r="F130" s="108"/>
      <c r="G130" s="108">
        <f>580.54+94.1</f>
        <v>674.64</v>
      </c>
      <c r="H130" s="86"/>
      <c r="I130" s="86"/>
    </row>
    <row r="131" spans="1:9" x14ac:dyDescent="0.25">
      <c r="A131" s="106"/>
      <c r="B131" s="106"/>
      <c r="C131" s="107">
        <v>44</v>
      </c>
      <c r="D131" s="107" t="s">
        <v>62</v>
      </c>
      <c r="E131" s="105">
        <v>4279.08</v>
      </c>
      <c r="F131" s="105">
        <v>7000</v>
      </c>
      <c r="G131" s="105">
        <v>6095.84</v>
      </c>
      <c r="H131" s="86">
        <f>(G131/E131)*100</f>
        <v>142.45678977724182</v>
      </c>
      <c r="I131" s="86">
        <f>(G131/F131)*100</f>
        <v>87.083428571428584</v>
      </c>
    </row>
    <row r="132" spans="1:9" x14ac:dyDescent="0.25">
      <c r="A132" s="106"/>
      <c r="B132" s="106"/>
      <c r="C132" s="107">
        <v>51</v>
      </c>
      <c r="D132" s="107" t="s">
        <v>57</v>
      </c>
      <c r="E132" s="105"/>
      <c r="F132" s="108"/>
      <c r="G132" s="108"/>
      <c r="H132" s="86"/>
      <c r="I132" s="86"/>
    </row>
    <row r="133" spans="1:9" x14ac:dyDescent="0.25">
      <c r="A133" s="106"/>
      <c r="B133" s="106"/>
      <c r="C133" s="107">
        <v>52</v>
      </c>
      <c r="D133" s="107" t="s">
        <v>53</v>
      </c>
      <c r="E133" s="105">
        <v>985.48</v>
      </c>
      <c r="F133" s="108">
        <v>900</v>
      </c>
      <c r="G133" s="108"/>
      <c r="H133" s="86">
        <v>0</v>
      </c>
      <c r="I133" s="86">
        <v>0</v>
      </c>
    </row>
    <row r="134" spans="1:9" x14ac:dyDescent="0.25">
      <c r="A134" s="106"/>
      <c r="B134" s="106"/>
      <c r="C134" s="107">
        <v>61</v>
      </c>
      <c r="D134" s="107" t="s">
        <v>58</v>
      </c>
      <c r="E134" s="105"/>
      <c r="F134" s="108"/>
      <c r="G134" s="108"/>
      <c r="H134" s="86"/>
      <c r="I134" s="86"/>
    </row>
    <row r="135" spans="1:9" x14ac:dyDescent="0.25">
      <c r="A135" s="109"/>
      <c r="B135" s="109">
        <v>3222</v>
      </c>
      <c r="C135" s="110"/>
      <c r="D135" s="109" t="s">
        <v>84</v>
      </c>
      <c r="E135" s="86">
        <f>SUM(E136:E142)</f>
        <v>37535.85</v>
      </c>
      <c r="F135" s="86">
        <f>SUM(F136:F142)</f>
        <v>81000</v>
      </c>
      <c r="G135" s="86">
        <f>SUM(G136:G142)</f>
        <v>55884.73</v>
      </c>
      <c r="H135" s="86">
        <f t="shared" si="11"/>
        <v>148.88361393174793</v>
      </c>
      <c r="I135" s="86">
        <f t="shared" ref="I135:I143" si="13">(G135/F135)*100</f>
        <v>68.993493827160506</v>
      </c>
    </row>
    <row r="136" spans="1:9" x14ac:dyDescent="0.25">
      <c r="A136" s="106"/>
      <c r="B136" s="106"/>
      <c r="C136" s="107">
        <v>11</v>
      </c>
      <c r="D136" s="107" t="s">
        <v>18</v>
      </c>
      <c r="E136" s="105"/>
      <c r="F136" s="108"/>
      <c r="G136" s="108"/>
      <c r="H136" s="86"/>
      <c r="I136" s="86"/>
    </row>
    <row r="137" spans="1:9" x14ac:dyDescent="0.25">
      <c r="A137" s="106"/>
      <c r="B137" s="106"/>
      <c r="C137" s="107">
        <v>31</v>
      </c>
      <c r="D137" s="107" t="s">
        <v>44</v>
      </c>
      <c r="E137" s="105"/>
      <c r="F137" s="108"/>
      <c r="G137" s="108"/>
      <c r="H137" s="86"/>
      <c r="I137" s="86"/>
    </row>
    <row r="138" spans="1:9" ht="25.5" x14ac:dyDescent="0.25">
      <c r="A138" s="106"/>
      <c r="B138" s="106"/>
      <c r="C138" s="107">
        <v>43</v>
      </c>
      <c r="D138" s="113" t="s">
        <v>54</v>
      </c>
      <c r="E138" s="105">
        <v>3518</v>
      </c>
      <c r="F138" s="105">
        <v>6000</v>
      </c>
      <c r="G138" s="105"/>
      <c r="H138" s="86">
        <f t="shared" si="11"/>
        <v>0</v>
      </c>
      <c r="I138" s="86"/>
    </row>
    <row r="139" spans="1:9" x14ac:dyDescent="0.25">
      <c r="A139" s="106"/>
      <c r="B139" s="106"/>
      <c r="C139" s="107">
        <v>44</v>
      </c>
      <c r="D139" s="107" t="s">
        <v>62</v>
      </c>
      <c r="E139" s="105"/>
      <c r="F139" s="105"/>
      <c r="G139" s="105"/>
      <c r="H139" s="86"/>
      <c r="I139" s="86"/>
    </row>
    <row r="140" spans="1:9" x14ac:dyDescent="0.25">
      <c r="A140" s="106"/>
      <c r="B140" s="106"/>
      <c r="C140" s="107">
        <v>51</v>
      </c>
      <c r="D140" s="107" t="s">
        <v>57</v>
      </c>
      <c r="E140" s="105"/>
      <c r="F140" s="108"/>
      <c r="G140" s="108"/>
      <c r="H140" s="86"/>
      <c r="I140" s="86"/>
    </row>
    <row r="141" spans="1:9" x14ac:dyDescent="0.25">
      <c r="A141" s="106"/>
      <c r="B141" s="106"/>
      <c r="C141" s="107">
        <v>52</v>
      </c>
      <c r="D141" s="107" t="s">
        <v>53</v>
      </c>
      <c r="E141" s="105">
        <v>34017.85</v>
      </c>
      <c r="F141" s="108">
        <v>75000</v>
      </c>
      <c r="G141" s="108">
        <v>55884.73</v>
      </c>
      <c r="H141" s="86">
        <f>(G141/E141)*100</f>
        <v>164.28060562322429</v>
      </c>
      <c r="I141" s="86">
        <f t="shared" si="13"/>
        <v>74.512973333333335</v>
      </c>
    </row>
    <row r="142" spans="1:9" x14ac:dyDescent="0.25">
      <c r="A142" s="106"/>
      <c r="B142" s="106"/>
      <c r="C142" s="107">
        <v>61</v>
      </c>
      <c r="D142" s="107" t="s">
        <v>58</v>
      </c>
      <c r="E142" s="105"/>
      <c r="F142" s="108"/>
      <c r="G142" s="108"/>
      <c r="H142" s="86"/>
      <c r="I142" s="86"/>
    </row>
    <row r="143" spans="1:9" x14ac:dyDescent="0.25">
      <c r="A143" s="109"/>
      <c r="B143" s="109">
        <v>3223</v>
      </c>
      <c r="C143" s="110"/>
      <c r="D143" s="109" t="s">
        <v>85</v>
      </c>
      <c r="E143" s="86">
        <f>SUM(E144:E150)</f>
        <v>12467.47</v>
      </c>
      <c r="F143" s="86">
        <f>SUM(F144:F150)</f>
        <v>23000</v>
      </c>
      <c r="G143" s="86">
        <f>SUM(G144:G150)</f>
        <v>12694.06</v>
      </c>
      <c r="H143" s="86">
        <f t="shared" ref="H143:H151" si="14">(G143/E143)*100</f>
        <v>101.81744973118043</v>
      </c>
      <c r="I143" s="86">
        <f t="shared" si="13"/>
        <v>55.1915652173913</v>
      </c>
    </row>
    <row r="144" spans="1:9" x14ac:dyDescent="0.25">
      <c r="A144" s="106"/>
      <c r="B144" s="106"/>
      <c r="C144" s="107">
        <v>11</v>
      </c>
      <c r="D144" s="107" t="s">
        <v>18</v>
      </c>
      <c r="E144" s="105"/>
      <c r="F144" s="108"/>
      <c r="G144" s="108"/>
      <c r="H144" s="86"/>
      <c r="I144" s="86"/>
    </row>
    <row r="145" spans="1:9" x14ac:dyDescent="0.25">
      <c r="A145" s="106"/>
      <c r="B145" s="106"/>
      <c r="C145" s="107">
        <v>31</v>
      </c>
      <c r="D145" s="107" t="s">
        <v>44</v>
      </c>
      <c r="E145" s="105"/>
      <c r="F145" s="108"/>
      <c r="G145" s="108"/>
      <c r="H145" s="86"/>
      <c r="I145" s="86"/>
    </row>
    <row r="146" spans="1:9" ht="25.5" x14ac:dyDescent="0.25">
      <c r="A146" s="106"/>
      <c r="B146" s="106"/>
      <c r="C146" s="107">
        <v>43</v>
      </c>
      <c r="D146" s="113" t="s">
        <v>54</v>
      </c>
      <c r="E146" s="105"/>
      <c r="F146" s="108"/>
      <c r="G146" s="108"/>
      <c r="H146" s="86"/>
      <c r="I146" s="86"/>
    </row>
    <row r="147" spans="1:9" x14ac:dyDescent="0.25">
      <c r="A147" s="106"/>
      <c r="B147" s="106"/>
      <c r="C147" s="107">
        <v>44</v>
      </c>
      <c r="D147" s="107" t="s">
        <v>62</v>
      </c>
      <c r="E147" s="105">
        <v>12467.47</v>
      </c>
      <c r="F147" s="105">
        <v>23000</v>
      </c>
      <c r="G147" s="105">
        <v>12694.06</v>
      </c>
      <c r="H147" s="86">
        <f>(G147/E147)*100</f>
        <v>101.81744973118043</v>
      </c>
      <c r="I147" s="86">
        <f>(G147/F147)*100</f>
        <v>55.1915652173913</v>
      </c>
    </row>
    <row r="148" spans="1:9" x14ac:dyDescent="0.25">
      <c r="A148" s="106"/>
      <c r="B148" s="106"/>
      <c r="C148" s="107">
        <v>51</v>
      </c>
      <c r="D148" s="107" t="s">
        <v>57</v>
      </c>
      <c r="E148" s="105"/>
      <c r="F148" s="108"/>
      <c r="G148" s="108"/>
      <c r="H148" s="86"/>
      <c r="I148" s="86"/>
    </row>
    <row r="149" spans="1:9" x14ac:dyDescent="0.25">
      <c r="A149" s="106"/>
      <c r="B149" s="106"/>
      <c r="C149" s="107">
        <v>52</v>
      </c>
      <c r="D149" s="107" t="s">
        <v>53</v>
      </c>
      <c r="E149" s="105"/>
      <c r="F149" s="108"/>
      <c r="G149" s="108"/>
      <c r="H149" s="86"/>
      <c r="I149" s="86"/>
    </row>
    <row r="150" spans="1:9" x14ac:dyDescent="0.25">
      <c r="A150" s="106"/>
      <c r="B150" s="106"/>
      <c r="C150" s="107">
        <v>61</v>
      </c>
      <c r="D150" s="107" t="s">
        <v>58</v>
      </c>
      <c r="E150" s="105"/>
      <c r="F150" s="108"/>
      <c r="G150" s="108"/>
      <c r="H150" s="86"/>
      <c r="I150" s="86"/>
    </row>
    <row r="151" spans="1:9" ht="38.25" x14ac:dyDescent="0.25">
      <c r="A151" s="109"/>
      <c r="B151" s="109">
        <v>3224</v>
      </c>
      <c r="C151" s="110"/>
      <c r="D151" s="111" t="s">
        <v>86</v>
      </c>
      <c r="E151" s="86">
        <f>SUM(E152:E158)</f>
        <v>879.54</v>
      </c>
      <c r="F151" s="86">
        <f>SUM(F152:F158)</f>
        <v>2000</v>
      </c>
      <c r="G151" s="86">
        <f>SUM(G152:G158)</f>
        <v>2593.1800000000003</v>
      </c>
      <c r="H151" s="86">
        <f t="shared" si="14"/>
        <v>294.83366305114043</v>
      </c>
      <c r="I151" s="86">
        <f>(G151/F151)*100</f>
        <v>129.65900000000002</v>
      </c>
    </row>
    <row r="152" spans="1:9" x14ac:dyDescent="0.25">
      <c r="A152" s="106"/>
      <c r="B152" s="106"/>
      <c r="C152" s="107">
        <v>11</v>
      </c>
      <c r="D152" s="107" t="s">
        <v>18</v>
      </c>
      <c r="E152" s="105"/>
      <c r="F152" s="108"/>
      <c r="G152" s="108"/>
      <c r="H152" s="86"/>
      <c r="I152" s="86"/>
    </row>
    <row r="153" spans="1:9" x14ac:dyDescent="0.25">
      <c r="A153" s="106"/>
      <c r="B153" s="106"/>
      <c r="C153" s="107">
        <v>31</v>
      </c>
      <c r="D153" s="107" t="s">
        <v>44</v>
      </c>
      <c r="E153" s="105"/>
      <c r="F153" s="108"/>
      <c r="G153" s="108"/>
      <c r="H153" s="86"/>
      <c r="I153" s="86"/>
    </row>
    <row r="154" spans="1:9" ht="25.5" x14ac:dyDescent="0.25">
      <c r="A154" s="106"/>
      <c r="B154" s="106"/>
      <c r="C154" s="107">
        <v>43</v>
      </c>
      <c r="D154" s="113" t="s">
        <v>54</v>
      </c>
      <c r="E154" s="105"/>
      <c r="F154" s="108"/>
      <c r="G154" s="108">
        <v>106.1</v>
      </c>
      <c r="H154" s="86">
        <v>0</v>
      </c>
      <c r="I154" s="86">
        <v>0</v>
      </c>
    </row>
    <row r="155" spans="1:9" x14ac:dyDescent="0.25">
      <c r="A155" s="106"/>
      <c r="B155" s="106"/>
      <c r="C155" s="107">
        <v>44</v>
      </c>
      <c r="D155" s="107" t="s">
        <v>62</v>
      </c>
      <c r="E155" s="105">
        <v>879.54</v>
      </c>
      <c r="F155" s="105">
        <v>2000</v>
      </c>
      <c r="G155" s="105">
        <v>885.64</v>
      </c>
      <c r="H155" s="86">
        <f>(G155/E155)*100</f>
        <v>100.69354435272983</v>
      </c>
      <c r="I155" s="86">
        <f>(G155/F155)*100</f>
        <v>44.281999999999996</v>
      </c>
    </row>
    <row r="156" spans="1:9" x14ac:dyDescent="0.25">
      <c r="A156" s="106"/>
      <c r="B156" s="106"/>
      <c r="C156" s="107">
        <v>51</v>
      </c>
      <c r="D156" s="107" t="s">
        <v>57</v>
      </c>
      <c r="E156" s="105"/>
      <c r="F156" s="108"/>
      <c r="G156" s="108"/>
      <c r="H156" s="86"/>
      <c r="I156" s="86"/>
    </row>
    <row r="157" spans="1:9" x14ac:dyDescent="0.25">
      <c r="A157" s="106"/>
      <c r="B157" s="106"/>
      <c r="C157" s="107">
        <v>52</v>
      </c>
      <c r="D157" s="107" t="s">
        <v>53</v>
      </c>
      <c r="E157" s="105"/>
      <c r="F157" s="108"/>
      <c r="G157" s="108">
        <v>1051.44</v>
      </c>
      <c r="H157" s="86">
        <v>0</v>
      </c>
      <c r="I157" s="86">
        <v>0</v>
      </c>
    </row>
    <row r="158" spans="1:9" x14ac:dyDescent="0.25">
      <c r="A158" s="106"/>
      <c r="B158" s="106"/>
      <c r="C158" s="107">
        <v>61</v>
      </c>
      <c r="D158" s="107" t="s">
        <v>58</v>
      </c>
      <c r="E158" s="105"/>
      <c r="F158" s="108"/>
      <c r="G158" s="108">
        <v>550</v>
      </c>
      <c r="H158" s="86">
        <v>0</v>
      </c>
      <c r="I158" s="86">
        <v>0</v>
      </c>
    </row>
    <row r="159" spans="1:9" x14ac:dyDescent="0.25">
      <c r="A159" s="109"/>
      <c r="B159" s="109">
        <v>3225</v>
      </c>
      <c r="C159" s="110"/>
      <c r="D159" s="111" t="s">
        <v>117</v>
      </c>
      <c r="E159" s="86">
        <f>SUM(E160:E166)</f>
        <v>3144.36</v>
      </c>
      <c r="F159" s="86">
        <f>SUM(F160:F166)</f>
        <v>3030</v>
      </c>
      <c r="G159" s="86">
        <f>SUM(G160:G166)</f>
        <v>5797.74</v>
      </c>
      <c r="H159" s="86">
        <f>(G159/E159)*100</f>
        <v>184.38537572033735</v>
      </c>
      <c r="I159" s="86">
        <f>(G159/F159)*100</f>
        <v>191.34455445544555</v>
      </c>
    </row>
    <row r="160" spans="1:9" x14ac:dyDescent="0.25">
      <c r="A160" s="106"/>
      <c r="B160" s="106"/>
      <c r="C160" s="107">
        <v>11</v>
      </c>
      <c r="D160" s="107" t="s">
        <v>18</v>
      </c>
      <c r="E160" s="105"/>
      <c r="F160" s="108"/>
      <c r="G160" s="108"/>
      <c r="H160" s="86"/>
      <c r="I160" s="86"/>
    </row>
    <row r="161" spans="1:9" x14ac:dyDescent="0.25">
      <c r="A161" s="106"/>
      <c r="B161" s="106"/>
      <c r="C161" s="107">
        <v>31</v>
      </c>
      <c r="D161" s="107" t="s">
        <v>44</v>
      </c>
      <c r="E161" s="105"/>
      <c r="F161" s="108">
        <v>30</v>
      </c>
      <c r="G161" s="108"/>
      <c r="H161" s="86"/>
      <c r="I161" s="86"/>
    </row>
    <row r="162" spans="1:9" ht="25.5" x14ac:dyDescent="0.25">
      <c r="A162" s="106"/>
      <c r="B162" s="106"/>
      <c r="C162" s="107">
        <v>43</v>
      </c>
      <c r="D162" s="113" t="s">
        <v>54</v>
      </c>
      <c r="E162" s="105"/>
      <c r="F162" s="108"/>
      <c r="G162" s="108">
        <v>343.3</v>
      </c>
      <c r="H162" s="86"/>
      <c r="I162" s="86"/>
    </row>
    <row r="163" spans="1:9" x14ac:dyDescent="0.25">
      <c r="A163" s="106"/>
      <c r="B163" s="106"/>
      <c r="C163" s="107">
        <v>44</v>
      </c>
      <c r="D163" s="107" t="s">
        <v>62</v>
      </c>
      <c r="E163" s="105">
        <v>2644.36</v>
      </c>
      <c r="F163" s="105">
        <v>3000</v>
      </c>
      <c r="G163" s="105">
        <v>3499.88</v>
      </c>
      <c r="H163" s="86">
        <f>(G163/E163)*100</f>
        <v>132.35262974784067</v>
      </c>
      <c r="I163" s="86">
        <f>(G163/F163)*100</f>
        <v>116.66266666666667</v>
      </c>
    </row>
    <row r="164" spans="1:9" x14ac:dyDescent="0.25">
      <c r="A164" s="106"/>
      <c r="B164" s="106"/>
      <c r="C164" s="107">
        <v>51</v>
      </c>
      <c r="D164" s="107" t="s">
        <v>57</v>
      </c>
      <c r="E164" s="105"/>
      <c r="F164" s="108"/>
      <c r="G164" s="108"/>
      <c r="H164" s="86"/>
      <c r="I164" s="86"/>
    </row>
    <row r="165" spans="1:9" x14ac:dyDescent="0.25">
      <c r="A165" s="106"/>
      <c r="B165" s="106"/>
      <c r="C165" s="107">
        <v>52</v>
      </c>
      <c r="D165" s="107" t="s">
        <v>53</v>
      </c>
      <c r="E165" s="105"/>
      <c r="F165" s="108"/>
      <c r="G165" s="108">
        <v>1954.56</v>
      </c>
      <c r="H165" s="86"/>
      <c r="I165" s="86"/>
    </row>
    <row r="166" spans="1:9" x14ac:dyDescent="0.25">
      <c r="A166" s="106"/>
      <c r="B166" s="106"/>
      <c r="C166" s="107">
        <v>61</v>
      </c>
      <c r="D166" s="107" t="s">
        <v>58</v>
      </c>
      <c r="E166" s="105">
        <v>500</v>
      </c>
      <c r="F166" s="108"/>
      <c r="G166" s="108"/>
      <c r="H166" s="86"/>
      <c r="I166" s="86"/>
    </row>
    <row r="167" spans="1:9" ht="25.5" x14ac:dyDescent="0.25">
      <c r="A167" s="109"/>
      <c r="B167" s="109">
        <v>3227</v>
      </c>
      <c r="C167" s="110"/>
      <c r="D167" s="111" t="s">
        <v>87</v>
      </c>
      <c r="E167" s="86">
        <f>SUM(E168:E174)</f>
        <v>124.91</v>
      </c>
      <c r="F167" s="86">
        <f>SUM(F168:F174)</f>
        <v>500</v>
      </c>
      <c r="G167" s="86">
        <f>SUM(G168:G174)</f>
        <v>76.33</v>
      </c>
      <c r="H167" s="86">
        <f t="shared" ref="H167:H175" si="15">(G167/E167)*100</f>
        <v>61.107997758386034</v>
      </c>
      <c r="I167" s="86">
        <f t="shared" ref="I167:I175" si="16">(G167/F167)*100</f>
        <v>15.265999999999998</v>
      </c>
    </row>
    <row r="168" spans="1:9" x14ac:dyDescent="0.25">
      <c r="A168" s="106"/>
      <c r="B168" s="106"/>
      <c r="C168" s="107">
        <v>11</v>
      </c>
      <c r="D168" s="107" t="s">
        <v>18</v>
      </c>
      <c r="E168" s="105"/>
      <c r="F168" s="108"/>
      <c r="G168" s="108"/>
      <c r="H168" s="86"/>
      <c r="I168" s="86"/>
    </row>
    <row r="169" spans="1:9" x14ac:dyDescent="0.25">
      <c r="A169" s="106"/>
      <c r="B169" s="106"/>
      <c r="C169" s="107">
        <v>31</v>
      </c>
      <c r="D169" s="107" t="s">
        <v>44</v>
      </c>
      <c r="E169" s="105"/>
      <c r="F169" s="108"/>
      <c r="G169" s="108"/>
      <c r="H169" s="86"/>
      <c r="I169" s="86"/>
    </row>
    <row r="170" spans="1:9" ht="25.5" x14ac:dyDescent="0.25">
      <c r="A170" s="106"/>
      <c r="B170" s="106"/>
      <c r="C170" s="107">
        <v>43</v>
      </c>
      <c r="D170" s="113" t="s">
        <v>54</v>
      </c>
      <c r="E170" s="105"/>
      <c r="F170" s="108"/>
      <c r="G170" s="108"/>
      <c r="H170" s="86"/>
      <c r="I170" s="86"/>
    </row>
    <row r="171" spans="1:9" x14ac:dyDescent="0.25">
      <c r="A171" s="106"/>
      <c r="B171" s="106"/>
      <c r="C171" s="107">
        <v>44</v>
      </c>
      <c r="D171" s="107" t="s">
        <v>62</v>
      </c>
      <c r="E171" s="105">
        <v>124.91</v>
      </c>
      <c r="F171" s="105">
        <v>500</v>
      </c>
      <c r="G171" s="105">
        <v>76.33</v>
      </c>
      <c r="H171" s="86">
        <f>(G171/E171)*100</f>
        <v>61.107997758386034</v>
      </c>
      <c r="I171" s="86">
        <f>(G171/F171)*100</f>
        <v>15.265999999999998</v>
      </c>
    </row>
    <row r="172" spans="1:9" x14ac:dyDescent="0.25">
      <c r="A172" s="106"/>
      <c r="B172" s="106"/>
      <c r="C172" s="107">
        <v>51</v>
      </c>
      <c r="D172" s="107" t="s">
        <v>57</v>
      </c>
      <c r="E172" s="105"/>
      <c r="F172" s="108"/>
      <c r="G172" s="108"/>
      <c r="H172" s="86"/>
      <c r="I172" s="86"/>
    </row>
    <row r="173" spans="1:9" x14ac:dyDescent="0.25">
      <c r="A173" s="106"/>
      <c r="B173" s="106"/>
      <c r="C173" s="107">
        <v>52</v>
      </c>
      <c r="D173" s="107" t="s">
        <v>53</v>
      </c>
      <c r="E173" s="105"/>
      <c r="F173" s="108"/>
      <c r="G173" s="108"/>
      <c r="H173" s="86"/>
      <c r="I173" s="86"/>
    </row>
    <row r="174" spans="1:9" x14ac:dyDescent="0.25">
      <c r="A174" s="106"/>
      <c r="B174" s="106"/>
      <c r="C174" s="107">
        <v>61</v>
      </c>
      <c r="D174" s="107" t="s">
        <v>58</v>
      </c>
      <c r="E174" s="105"/>
      <c r="F174" s="108"/>
      <c r="G174" s="108"/>
      <c r="H174" s="86"/>
      <c r="I174" s="86"/>
    </row>
    <row r="175" spans="1:9" ht="25.5" x14ac:dyDescent="0.25">
      <c r="A175" s="109"/>
      <c r="B175" s="109">
        <v>3231</v>
      </c>
      <c r="C175" s="110"/>
      <c r="D175" s="111" t="s">
        <v>88</v>
      </c>
      <c r="E175" s="86">
        <f>SUM(E176:E182)</f>
        <v>1307.55</v>
      </c>
      <c r="F175" s="86">
        <f>SUM(F176:F182)</f>
        <v>3000</v>
      </c>
      <c r="G175" s="86">
        <f>SUM(G176:G182)</f>
        <v>12046.14</v>
      </c>
      <c r="H175" s="86">
        <f t="shared" si="15"/>
        <v>921.27566823448421</v>
      </c>
      <c r="I175" s="86">
        <f t="shared" si="16"/>
        <v>401.53799999999995</v>
      </c>
    </row>
    <row r="176" spans="1:9" x14ac:dyDescent="0.25">
      <c r="A176" s="106"/>
      <c r="B176" s="106"/>
      <c r="C176" s="107">
        <v>11</v>
      </c>
      <c r="D176" s="107" t="s">
        <v>18</v>
      </c>
      <c r="E176" s="105"/>
      <c r="F176" s="108"/>
      <c r="G176" s="108"/>
      <c r="H176" s="86"/>
      <c r="I176" s="86"/>
    </row>
    <row r="177" spans="1:9" x14ac:dyDescent="0.25">
      <c r="A177" s="106"/>
      <c r="B177" s="106"/>
      <c r="C177" s="107">
        <v>31</v>
      </c>
      <c r="D177" s="107" t="s">
        <v>44</v>
      </c>
      <c r="E177" s="105"/>
      <c r="F177" s="108"/>
      <c r="G177" s="108"/>
      <c r="H177" s="86"/>
      <c r="I177" s="86"/>
    </row>
    <row r="178" spans="1:9" ht="25.5" x14ac:dyDescent="0.25">
      <c r="A178" s="106"/>
      <c r="B178" s="106"/>
      <c r="C178" s="107">
        <v>43</v>
      </c>
      <c r="D178" s="113" t="s">
        <v>54</v>
      </c>
      <c r="E178" s="105"/>
      <c r="F178" s="108"/>
      <c r="G178" s="108"/>
      <c r="H178" s="86"/>
      <c r="I178" s="86"/>
    </row>
    <row r="179" spans="1:9" x14ac:dyDescent="0.25">
      <c r="A179" s="106"/>
      <c r="B179" s="106"/>
      <c r="C179" s="107">
        <v>44</v>
      </c>
      <c r="D179" s="107" t="s">
        <v>62</v>
      </c>
      <c r="E179" s="105">
        <v>1307.55</v>
      </c>
      <c r="F179" s="105">
        <v>3000</v>
      </c>
      <c r="G179" s="105">
        <v>1796.14</v>
      </c>
      <c r="H179" s="86">
        <f>(G179/E179)*100</f>
        <v>137.3668310963252</v>
      </c>
      <c r="I179" s="86">
        <f>(G179/F179)*100</f>
        <v>59.871333333333332</v>
      </c>
    </row>
    <row r="180" spans="1:9" x14ac:dyDescent="0.25">
      <c r="A180" s="106"/>
      <c r="B180" s="106"/>
      <c r="C180" s="107">
        <v>51</v>
      </c>
      <c r="D180" s="107" t="s">
        <v>57</v>
      </c>
      <c r="E180" s="105"/>
      <c r="F180" s="108"/>
      <c r="G180" s="108"/>
      <c r="H180" s="86"/>
      <c r="I180" s="86"/>
    </row>
    <row r="181" spans="1:9" x14ac:dyDescent="0.25">
      <c r="A181" s="106"/>
      <c r="B181" s="106"/>
      <c r="C181" s="107">
        <v>52</v>
      </c>
      <c r="D181" s="107" t="s">
        <v>53</v>
      </c>
      <c r="E181" s="105"/>
      <c r="F181" s="108"/>
      <c r="G181" s="108">
        <v>10250</v>
      </c>
      <c r="H181" s="86"/>
      <c r="I181" s="86"/>
    </row>
    <row r="182" spans="1:9" x14ac:dyDescent="0.25">
      <c r="A182" s="106"/>
      <c r="B182" s="106"/>
      <c r="C182" s="107">
        <v>61</v>
      </c>
      <c r="D182" s="107" t="s">
        <v>58</v>
      </c>
      <c r="E182" s="105"/>
      <c r="F182" s="108"/>
      <c r="G182" s="108"/>
      <c r="H182" s="86"/>
      <c r="I182" s="86"/>
    </row>
    <row r="183" spans="1:9" ht="25.5" x14ac:dyDescent="0.25">
      <c r="A183" s="109"/>
      <c r="B183" s="109">
        <v>3232</v>
      </c>
      <c r="C183" s="110"/>
      <c r="D183" s="111" t="s">
        <v>89</v>
      </c>
      <c r="E183" s="86">
        <f>SUM(E184:E190)</f>
        <v>2629.55</v>
      </c>
      <c r="F183" s="86">
        <f>SUM(F184:F190)</f>
        <v>3385</v>
      </c>
      <c r="G183" s="86">
        <f>SUM(G184:G190)</f>
        <v>1007.71</v>
      </c>
      <c r="H183" s="86">
        <f t="shared" ref="H183" si="17">(G183/E183)*100</f>
        <v>38.322526668061073</v>
      </c>
      <c r="I183" s="86">
        <f>(G183/F183)*100</f>
        <v>29.7698670605613</v>
      </c>
    </row>
    <row r="184" spans="1:9" x14ac:dyDescent="0.25">
      <c r="A184" s="106"/>
      <c r="B184" s="106"/>
      <c r="C184" s="107">
        <v>11</v>
      </c>
      <c r="D184" s="107" t="s">
        <v>18</v>
      </c>
      <c r="E184" s="105"/>
      <c r="F184" s="108"/>
      <c r="G184" s="108"/>
      <c r="H184" s="86"/>
      <c r="I184" s="86"/>
    </row>
    <row r="185" spans="1:9" x14ac:dyDescent="0.25">
      <c r="A185" s="106"/>
      <c r="B185" s="106"/>
      <c r="C185" s="107">
        <v>31</v>
      </c>
      <c r="D185" s="107" t="s">
        <v>44</v>
      </c>
      <c r="E185" s="105"/>
      <c r="F185" s="108"/>
      <c r="G185" s="108"/>
      <c r="H185" s="86"/>
      <c r="I185" s="86"/>
    </row>
    <row r="186" spans="1:9" ht="25.5" x14ac:dyDescent="0.25">
      <c r="A186" s="106"/>
      <c r="B186" s="106"/>
      <c r="C186" s="107">
        <v>43</v>
      </c>
      <c r="D186" s="113" t="s">
        <v>54</v>
      </c>
      <c r="E186" s="105">
        <v>500</v>
      </c>
      <c r="F186" s="108"/>
      <c r="G186" s="108">
        <v>414.73</v>
      </c>
      <c r="H186" s="86"/>
      <c r="I186" s="86"/>
    </row>
    <row r="187" spans="1:9" x14ac:dyDescent="0.25">
      <c r="A187" s="106"/>
      <c r="B187" s="106"/>
      <c r="C187" s="107">
        <v>44</v>
      </c>
      <c r="D187" s="107" t="s">
        <v>62</v>
      </c>
      <c r="E187" s="105">
        <v>2129.5500000000002</v>
      </c>
      <c r="F187" s="105">
        <v>3385</v>
      </c>
      <c r="G187" s="105">
        <v>592.98</v>
      </c>
      <c r="H187" s="86">
        <f>(G187/E187)*100</f>
        <v>27.845319433683169</v>
      </c>
      <c r="I187" s="86">
        <f>(G187/F187)*100</f>
        <v>17.5178729689808</v>
      </c>
    </row>
    <row r="188" spans="1:9" x14ac:dyDescent="0.25">
      <c r="A188" s="106"/>
      <c r="B188" s="106"/>
      <c r="C188" s="107">
        <v>51</v>
      </c>
      <c r="D188" s="107" t="s">
        <v>57</v>
      </c>
      <c r="E188" s="105"/>
      <c r="F188" s="108"/>
      <c r="G188" s="108"/>
      <c r="H188" s="86"/>
      <c r="I188" s="86"/>
    </row>
    <row r="189" spans="1:9" x14ac:dyDescent="0.25">
      <c r="A189" s="106"/>
      <c r="B189" s="106"/>
      <c r="C189" s="107">
        <v>52</v>
      </c>
      <c r="D189" s="107" t="s">
        <v>53</v>
      </c>
      <c r="E189" s="105"/>
      <c r="F189" s="108"/>
      <c r="G189" s="108"/>
      <c r="H189" s="86"/>
      <c r="I189" s="86"/>
    </row>
    <row r="190" spans="1:9" x14ac:dyDescent="0.25">
      <c r="A190" s="106"/>
      <c r="B190" s="106"/>
      <c r="C190" s="107">
        <v>61</v>
      </c>
      <c r="D190" s="107" t="s">
        <v>58</v>
      </c>
      <c r="E190" s="105"/>
      <c r="F190" s="108"/>
      <c r="G190" s="108"/>
      <c r="H190" s="86"/>
      <c r="I190" s="86"/>
    </row>
    <row r="191" spans="1:9" ht="25.5" x14ac:dyDescent="0.25">
      <c r="A191" s="109"/>
      <c r="B191" s="109">
        <v>3233</v>
      </c>
      <c r="C191" s="110"/>
      <c r="D191" s="111" t="s">
        <v>90</v>
      </c>
      <c r="E191" s="86">
        <f>SUM(E192:E198)</f>
        <v>0</v>
      </c>
      <c r="F191" s="86">
        <f>SUM(F192:F198)</f>
        <v>0</v>
      </c>
      <c r="G191" s="86">
        <f>SUM(G192:G198)</f>
        <v>0</v>
      </c>
      <c r="H191" s="86"/>
      <c r="I191" s="86"/>
    </row>
    <row r="192" spans="1:9" x14ac:dyDescent="0.25">
      <c r="A192" s="106"/>
      <c r="B192" s="106"/>
      <c r="C192" s="107">
        <v>11</v>
      </c>
      <c r="D192" s="107" t="s">
        <v>18</v>
      </c>
      <c r="E192" s="105"/>
      <c r="F192" s="108"/>
      <c r="G192" s="108"/>
      <c r="H192" s="86"/>
      <c r="I192" s="86"/>
    </row>
    <row r="193" spans="1:9" x14ac:dyDescent="0.25">
      <c r="A193" s="106"/>
      <c r="B193" s="106"/>
      <c r="C193" s="107">
        <v>31</v>
      </c>
      <c r="D193" s="107" t="s">
        <v>44</v>
      </c>
      <c r="E193" s="105"/>
      <c r="F193" s="108"/>
      <c r="G193" s="108"/>
      <c r="H193" s="86"/>
      <c r="I193" s="86"/>
    </row>
    <row r="194" spans="1:9" ht="25.5" x14ac:dyDescent="0.25">
      <c r="A194" s="106"/>
      <c r="B194" s="106"/>
      <c r="C194" s="107">
        <v>43</v>
      </c>
      <c r="D194" s="113" t="s">
        <v>54</v>
      </c>
      <c r="E194" s="105"/>
      <c r="F194" s="108"/>
      <c r="G194" s="108"/>
      <c r="H194" s="86"/>
      <c r="I194" s="86"/>
    </row>
    <row r="195" spans="1:9" x14ac:dyDescent="0.25">
      <c r="A195" s="106"/>
      <c r="B195" s="106"/>
      <c r="C195" s="107">
        <v>44</v>
      </c>
      <c r="D195" s="107" t="s">
        <v>62</v>
      </c>
      <c r="E195" s="105"/>
      <c r="F195" s="105"/>
      <c r="G195" s="105"/>
      <c r="H195" s="86"/>
      <c r="I195" s="86"/>
    </row>
    <row r="196" spans="1:9" x14ac:dyDescent="0.25">
      <c r="A196" s="106"/>
      <c r="B196" s="106"/>
      <c r="C196" s="107">
        <v>51</v>
      </c>
      <c r="D196" s="107" t="s">
        <v>57</v>
      </c>
      <c r="E196" s="105"/>
      <c r="F196" s="108"/>
      <c r="G196" s="108"/>
      <c r="H196" s="86"/>
      <c r="I196" s="86"/>
    </row>
    <row r="197" spans="1:9" x14ac:dyDescent="0.25">
      <c r="A197" s="106"/>
      <c r="B197" s="106"/>
      <c r="C197" s="107">
        <v>52</v>
      </c>
      <c r="D197" s="107" t="s">
        <v>53</v>
      </c>
      <c r="E197" s="105"/>
      <c r="F197" s="108"/>
      <c r="G197" s="108"/>
      <c r="H197" s="86"/>
      <c r="I197" s="86"/>
    </row>
    <row r="198" spans="1:9" x14ac:dyDescent="0.25">
      <c r="A198" s="106"/>
      <c r="B198" s="106"/>
      <c r="C198" s="107">
        <v>61</v>
      </c>
      <c r="D198" s="107" t="s">
        <v>58</v>
      </c>
      <c r="E198" s="105"/>
      <c r="F198" s="108"/>
      <c r="G198" s="108"/>
      <c r="H198" s="86"/>
      <c r="I198" s="86"/>
    </row>
    <row r="199" spans="1:9" x14ac:dyDescent="0.25">
      <c r="A199" s="109"/>
      <c r="B199" s="109">
        <v>3234</v>
      </c>
      <c r="C199" s="110"/>
      <c r="D199" s="111" t="s">
        <v>91</v>
      </c>
      <c r="E199" s="86">
        <f>SUM(E200:E206)</f>
        <v>2895.44</v>
      </c>
      <c r="F199" s="86">
        <f>SUM(F200:F206)</f>
        <v>6800</v>
      </c>
      <c r="G199" s="86">
        <f>SUM(G200:G206)</f>
        <v>3829.88</v>
      </c>
      <c r="H199" s="86">
        <f t="shared" ref="H199:H203" si="18">(G199/E199)*100</f>
        <v>132.27281518525683</v>
      </c>
      <c r="I199" s="86">
        <f t="shared" ref="I199:I215" si="19">(G199/F199)*100</f>
        <v>56.321764705882359</v>
      </c>
    </row>
    <row r="200" spans="1:9" x14ac:dyDescent="0.25">
      <c r="A200" s="106"/>
      <c r="B200" s="106"/>
      <c r="C200" s="107">
        <v>11</v>
      </c>
      <c r="D200" s="107" t="s">
        <v>18</v>
      </c>
      <c r="E200" s="105"/>
      <c r="F200" s="108"/>
      <c r="G200" s="108"/>
      <c r="H200" s="86"/>
      <c r="I200" s="86"/>
    </row>
    <row r="201" spans="1:9" x14ac:dyDescent="0.25">
      <c r="A201" s="106"/>
      <c r="B201" s="106"/>
      <c r="C201" s="107">
        <v>31</v>
      </c>
      <c r="D201" s="107" t="s">
        <v>44</v>
      </c>
      <c r="E201" s="105"/>
      <c r="F201" s="108"/>
      <c r="G201" s="108"/>
      <c r="H201" s="86"/>
      <c r="I201" s="86"/>
    </row>
    <row r="202" spans="1:9" ht="25.5" x14ac:dyDescent="0.25">
      <c r="A202" s="106"/>
      <c r="B202" s="106"/>
      <c r="C202" s="107">
        <v>43</v>
      </c>
      <c r="D202" s="113" t="s">
        <v>54</v>
      </c>
      <c r="E202" s="105"/>
      <c r="F202" s="108"/>
      <c r="G202" s="108"/>
      <c r="H202" s="86"/>
      <c r="I202" s="86"/>
    </row>
    <row r="203" spans="1:9" x14ac:dyDescent="0.25">
      <c r="A203" s="106"/>
      <c r="B203" s="106"/>
      <c r="C203" s="107">
        <v>44</v>
      </c>
      <c r="D203" s="107" t="s">
        <v>62</v>
      </c>
      <c r="E203" s="105">
        <v>2895.44</v>
      </c>
      <c r="F203" s="105">
        <v>6800</v>
      </c>
      <c r="G203" s="105">
        <v>3829.88</v>
      </c>
      <c r="H203" s="86">
        <f t="shared" si="18"/>
        <v>132.27281518525683</v>
      </c>
      <c r="I203" s="86">
        <f t="shared" si="19"/>
        <v>56.321764705882359</v>
      </c>
    </row>
    <row r="204" spans="1:9" x14ac:dyDescent="0.25">
      <c r="A204" s="106"/>
      <c r="B204" s="106"/>
      <c r="C204" s="107">
        <v>51</v>
      </c>
      <c r="D204" s="107" t="s">
        <v>57</v>
      </c>
      <c r="E204" s="105"/>
      <c r="F204" s="108"/>
      <c r="G204" s="108"/>
      <c r="H204" s="86"/>
      <c r="I204" s="86"/>
    </row>
    <row r="205" spans="1:9" x14ac:dyDescent="0.25">
      <c r="A205" s="106"/>
      <c r="B205" s="106"/>
      <c r="C205" s="107">
        <v>52</v>
      </c>
      <c r="D205" s="107" t="s">
        <v>53</v>
      </c>
      <c r="E205" s="105"/>
      <c r="F205" s="108"/>
      <c r="G205" s="108"/>
      <c r="H205" s="86"/>
      <c r="I205" s="86"/>
    </row>
    <row r="206" spans="1:9" x14ac:dyDescent="0.25">
      <c r="A206" s="106"/>
      <c r="B206" s="106"/>
      <c r="C206" s="107">
        <v>61</v>
      </c>
      <c r="D206" s="107" t="s">
        <v>58</v>
      </c>
      <c r="E206" s="105"/>
      <c r="F206" s="108"/>
      <c r="G206" s="108"/>
      <c r="H206" s="86"/>
      <c r="I206" s="86"/>
    </row>
    <row r="207" spans="1:9" x14ac:dyDescent="0.25">
      <c r="A207" s="109"/>
      <c r="B207" s="109">
        <v>3235</v>
      </c>
      <c r="C207" s="110"/>
      <c r="D207" s="111" t="s">
        <v>152</v>
      </c>
      <c r="E207" s="86">
        <f>SUM(E208:E214)</f>
        <v>1956.29</v>
      </c>
      <c r="F207" s="86">
        <f>SUM(F208:F214)</f>
        <v>3500</v>
      </c>
      <c r="G207" s="86">
        <f>SUM(G208:G214)</f>
        <v>1930.64</v>
      </c>
      <c r="H207" s="86">
        <f t="shared" ref="H207:H211" si="20">(G207/E207)*100</f>
        <v>98.688844700939029</v>
      </c>
      <c r="I207" s="86">
        <f t="shared" ref="I207:I211" si="21">(G207/F207)*100</f>
        <v>55.161142857142863</v>
      </c>
    </row>
    <row r="208" spans="1:9" x14ac:dyDescent="0.25">
      <c r="A208" s="106"/>
      <c r="B208" s="106"/>
      <c r="C208" s="107">
        <v>11</v>
      </c>
      <c r="D208" s="107" t="s">
        <v>18</v>
      </c>
      <c r="E208" s="105"/>
      <c r="F208" s="108"/>
      <c r="G208" s="108"/>
      <c r="H208" s="86"/>
      <c r="I208" s="86"/>
    </row>
    <row r="209" spans="1:9" x14ac:dyDescent="0.25">
      <c r="A209" s="106"/>
      <c r="B209" s="106"/>
      <c r="C209" s="107">
        <v>31</v>
      </c>
      <c r="D209" s="107" t="s">
        <v>44</v>
      </c>
      <c r="E209" s="105"/>
      <c r="F209" s="108"/>
      <c r="G209" s="108"/>
      <c r="H209" s="86"/>
      <c r="I209" s="86"/>
    </row>
    <row r="210" spans="1:9" ht="25.5" x14ac:dyDescent="0.25">
      <c r="A210" s="106"/>
      <c r="B210" s="106"/>
      <c r="C210" s="107">
        <v>43</v>
      </c>
      <c r="D210" s="113" t="s">
        <v>54</v>
      </c>
      <c r="E210" s="105"/>
      <c r="F210" s="108"/>
      <c r="G210" s="108"/>
      <c r="H210" s="86"/>
      <c r="I210" s="86"/>
    </row>
    <row r="211" spans="1:9" x14ac:dyDescent="0.25">
      <c r="A211" s="106"/>
      <c r="B211" s="106"/>
      <c r="C211" s="107">
        <v>44</v>
      </c>
      <c r="D211" s="107" t="s">
        <v>62</v>
      </c>
      <c r="E211" s="105">
        <v>1956.29</v>
      </c>
      <c r="F211" s="105">
        <v>3500</v>
      </c>
      <c r="G211" s="105">
        <v>1930.64</v>
      </c>
      <c r="H211" s="86">
        <f t="shared" si="20"/>
        <v>98.688844700939029</v>
      </c>
      <c r="I211" s="86">
        <f t="shared" si="21"/>
        <v>55.161142857142863</v>
      </c>
    </row>
    <row r="212" spans="1:9" x14ac:dyDescent="0.25">
      <c r="A212" s="106"/>
      <c r="B212" s="106"/>
      <c r="C212" s="107">
        <v>51</v>
      </c>
      <c r="D212" s="107" t="s">
        <v>57</v>
      </c>
      <c r="E212" s="105"/>
      <c r="F212" s="108"/>
      <c r="G212" s="108"/>
      <c r="H212" s="86"/>
      <c r="I212" s="86"/>
    </row>
    <row r="213" spans="1:9" x14ac:dyDescent="0.25">
      <c r="A213" s="106"/>
      <c r="B213" s="106"/>
      <c r="C213" s="107">
        <v>52</v>
      </c>
      <c r="D213" s="107" t="s">
        <v>53</v>
      </c>
      <c r="E213" s="105"/>
      <c r="F213" s="108"/>
      <c r="G213" s="108"/>
      <c r="H213" s="86"/>
      <c r="I213" s="86"/>
    </row>
    <row r="214" spans="1:9" x14ac:dyDescent="0.25">
      <c r="A214" s="106"/>
      <c r="B214" s="106"/>
      <c r="C214" s="107">
        <v>61</v>
      </c>
      <c r="D214" s="107" t="s">
        <v>58</v>
      </c>
      <c r="E214" s="105"/>
      <c r="F214" s="108"/>
      <c r="G214" s="108"/>
      <c r="H214" s="86"/>
      <c r="I214" s="86"/>
    </row>
    <row r="215" spans="1:9" x14ac:dyDescent="0.25">
      <c r="A215" s="109"/>
      <c r="B215" s="109">
        <v>3236</v>
      </c>
      <c r="C215" s="110"/>
      <c r="D215" s="111" t="s">
        <v>92</v>
      </c>
      <c r="E215" s="86">
        <f>SUM(E216:E222)</f>
        <v>604.42999999999995</v>
      </c>
      <c r="F215" s="86">
        <f>SUM(F216:F222)</f>
        <v>5000</v>
      </c>
      <c r="G215" s="86">
        <f>SUM(G216:G222)</f>
        <v>2134.7399999999998</v>
      </c>
      <c r="H215" s="86">
        <f>(G215/E215)*100</f>
        <v>353.18233707790807</v>
      </c>
      <c r="I215" s="86">
        <f t="shared" si="19"/>
        <v>42.694799999999994</v>
      </c>
    </row>
    <row r="216" spans="1:9" x14ac:dyDescent="0.25">
      <c r="A216" s="106"/>
      <c r="B216" s="106"/>
      <c r="C216" s="107">
        <v>11</v>
      </c>
      <c r="D216" s="107" t="s">
        <v>18</v>
      </c>
      <c r="E216" s="105"/>
      <c r="F216" s="108"/>
      <c r="G216" s="108"/>
      <c r="H216" s="86"/>
      <c r="I216" s="86"/>
    </row>
    <row r="217" spans="1:9" x14ac:dyDescent="0.25">
      <c r="A217" s="106"/>
      <c r="B217" s="106"/>
      <c r="C217" s="107">
        <v>31</v>
      </c>
      <c r="D217" s="107" t="s">
        <v>44</v>
      </c>
      <c r="E217" s="105"/>
      <c r="F217" s="108"/>
      <c r="G217" s="108"/>
      <c r="H217" s="86"/>
      <c r="I217" s="86"/>
    </row>
    <row r="218" spans="1:9" ht="25.5" x14ac:dyDescent="0.25">
      <c r="A218" s="106"/>
      <c r="B218" s="106"/>
      <c r="C218" s="107">
        <v>43</v>
      </c>
      <c r="D218" s="113" t="s">
        <v>54</v>
      </c>
      <c r="E218" s="105"/>
      <c r="F218" s="108"/>
      <c r="G218" s="108"/>
      <c r="H218" s="86"/>
      <c r="I218" s="86"/>
    </row>
    <row r="219" spans="1:9" x14ac:dyDescent="0.25">
      <c r="A219" s="106"/>
      <c r="B219" s="106"/>
      <c r="C219" s="107">
        <v>44</v>
      </c>
      <c r="D219" s="107" t="s">
        <v>62</v>
      </c>
      <c r="E219" s="105">
        <v>604.42999999999995</v>
      </c>
      <c r="F219" s="105">
        <v>5000</v>
      </c>
      <c r="G219" s="105">
        <v>2134.7399999999998</v>
      </c>
      <c r="H219" s="86"/>
      <c r="I219" s="86"/>
    </row>
    <row r="220" spans="1:9" x14ac:dyDescent="0.25">
      <c r="A220" s="106"/>
      <c r="B220" s="106"/>
      <c r="C220" s="107">
        <v>51</v>
      </c>
      <c r="D220" s="107" t="s">
        <v>57</v>
      </c>
      <c r="E220" s="105"/>
      <c r="F220" s="108"/>
      <c r="G220" s="108"/>
      <c r="H220" s="86"/>
      <c r="I220" s="86"/>
    </row>
    <row r="221" spans="1:9" x14ac:dyDescent="0.25">
      <c r="A221" s="106"/>
      <c r="B221" s="106"/>
      <c r="C221" s="107">
        <v>52</v>
      </c>
      <c r="D221" s="107" t="s">
        <v>53</v>
      </c>
      <c r="E221" s="105"/>
      <c r="F221" s="105"/>
      <c r="G221" s="105"/>
      <c r="H221" s="86"/>
      <c r="I221" s="86"/>
    </row>
    <row r="222" spans="1:9" x14ac:dyDescent="0.25">
      <c r="A222" s="106"/>
      <c r="B222" s="106"/>
      <c r="C222" s="107">
        <v>61</v>
      </c>
      <c r="D222" s="107" t="s">
        <v>58</v>
      </c>
      <c r="E222" s="105"/>
      <c r="F222" s="108"/>
      <c r="G222" s="108"/>
      <c r="H222" s="86"/>
      <c r="I222" s="86"/>
    </row>
    <row r="223" spans="1:9" x14ac:dyDescent="0.25">
      <c r="A223" s="109"/>
      <c r="B223" s="109">
        <v>3237</v>
      </c>
      <c r="C223" s="110"/>
      <c r="D223" s="111" t="s">
        <v>93</v>
      </c>
      <c r="E223" s="86">
        <f>SUM(E224:E230)</f>
        <v>5127.1100000000006</v>
      </c>
      <c r="F223" s="86">
        <f>SUM(F224:F230)</f>
        <v>7992</v>
      </c>
      <c r="G223" s="86">
        <f>SUM(G224:G230)</f>
        <v>4013.55</v>
      </c>
      <c r="H223" s="86">
        <f t="shared" ref="H216:H224" si="22">(G223/E223)*100</f>
        <v>78.280941895141694</v>
      </c>
      <c r="I223" s="86">
        <f t="shared" ref="I216:I224" si="23">(G223/F223)*100</f>
        <v>50.219594594594597</v>
      </c>
    </row>
    <row r="224" spans="1:9" x14ac:dyDescent="0.25">
      <c r="A224" s="106"/>
      <c r="B224" s="106"/>
      <c r="C224" s="107">
        <v>11</v>
      </c>
      <c r="D224" s="107" t="s">
        <v>18</v>
      </c>
      <c r="E224" s="105">
        <v>1162</v>
      </c>
      <c r="F224" s="108">
        <v>1992</v>
      </c>
      <c r="G224" s="108">
        <v>996</v>
      </c>
      <c r="H224" s="86">
        <f t="shared" si="22"/>
        <v>85.714285714285708</v>
      </c>
      <c r="I224" s="86">
        <f t="shared" si="23"/>
        <v>50</v>
      </c>
    </row>
    <row r="225" spans="1:9" x14ac:dyDescent="0.25">
      <c r="A225" s="106"/>
      <c r="B225" s="106"/>
      <c r="C225" s="107">
        <v>31</v>
      </c>
      <c r="D225" s="107" t="s">
        <v>44</v>
      </c>
      <c r="E225" s="105"/>
      <c r="F225" s="108"/>
      <c r="G225" s="108"/>
      <c r="H225" s="86"/>
      <c r="I225" s="86"/>
    </row>
    <row r="226" spans="1:9" ht="25.5" x14ac:dyDescent="0.25">
      <c r="A226" s="106"/>
      <c r="B226" s="106"/>
      <c r="C226" s="107">
        <v>43</v>
      </c>
      <c r="D226" s="113" t="s">
        <v>54</v>
      </c>
      <c r="E226" s="105"/>
      <c r="F226" s="108"/>
      <c r="G226" s="108"/>
      <c r="H226" s="86"/>
      <c r="I226" s="86"/>
    </row>
    <row r="227" spans="1:9" x14ac:dyDescent="0.25">
      <c r="A227" s="106"/>
      <c r="B227" s="106"/>
      <c r="C227" s="107">
        <v>44</v>
      </c>
      <c r="D227" s="107" t="s">
        <v>62</v>
      </c>
      <c r="E227" s="105">
        <v>3965.11</v>
      </c>
      <c r="F227" s="105">
        <v>6000</v>
      </c>
      <c r="G227" s="105">
        <v>3017.55</v>
      </c>
      <c r="H227" s="86">
        <f t="shared" ref="H225:H236" si="24">(G227/E227)*100</f>
        <v>76.102554531904545</v>
      </c>
      <c r="I227" s="86">
        <f t="shared" ref="I225:I236" si="25">(G227/F227)*100</f>
        <v>50.292500000000004</v>
      </c>
    </row>
    <row r="228" spans="1:9" x14ac:dyDescent="0.25">
      <c r="A228" s="106"/>
      <c r="B228" s="106"/>
      <c r="C228" s="107">
        <v>51</v>
      </c>
      <c r="D228" s="107" t="s">
        <v>57</v>
      </c>
      <c r="E228" s="105"/>
      <c r="F228" s="108"/>
      <c r="G228" s="108"/>
      <c r="H228" s="86"/>
      <c r="I228" s="86"/>
    </row>
    <row r="229" spans="1:9" x14ac:dyDescent="0.25">
      <c r="A229" s="106"/>
      <c r="B229" s="106"/>
      <c r="C229" s="107">
        <v>52</v>
      </c>
      <c r="D229" s="107" t="s">
        <v>53</v>
      </c>
      <c r="E229" s="105"/>
      <c r="F229" s="105"/>
      <c r="G229" s="105"/>
      <c r="H229" s="86"/>
      <c r="I229" s="86"/>
    </row>
    <row r="230" spans="1:9" x14ac:dyDescent="0.25">
      <c r="A230" s="106"/>
      <c r="B230" s="106"/>
      <c r="C230" s="107">
        <v>61</v>
      </c>
      <c r="D230" s="107" t="s">
        <v>58</v>
      </c>
      <c r="E230" s="105"/>
      <c r="F230" s="108"/>
      <c r="G230" s="108"/>
      <c r="H230" s="86"/>
      <c r="I230" s="86"/>
    </row>
    <row r="231" spans="1:9" x14ac:dyDescent="0.25">
      <c r="A231" s="109"/>
      <c r="B231" s="109">
        <v>3238</v>
      </c>
      <c r="C231" s="110"/>
      <c r="D231" s="111" t="s">
        <v>94</v>
      </c>
      <c r="E231" s="86">
        <f>SUM(E232:E238)</f>
        <v>1265.31</v>
      </c>
      <c r="F231" s="86">
        <f>SUM(F232:F238)</f>
        <v>3000</v>
      </c>
      <c r="G231" s="86">
        <f>SUM(G232:G238)</f>
        <v>1077.07</v>
      </c>
      <c r="H231" s="86">
        <f t="shared" si="24"/>
        <v>85.123013332701078</v>
      </c>
      <c r="I231" s="86">
        <f t="shared" si="25"/>
        <v>35.902333333333331</v>
      </c>
    </row>
    <row r="232" spans="1:9" x14ac:dyDescent="0.25">
      <c r="A232" s="106"/>
      <c r="B232" s="106"/>
      <c r="C232" s="107">
        <v>11</v>
      </c>
      <c r="D232" s="107" t="s">
        <v>18</v>
      </c>
      <c r="E232" s="105"/>
      <c r="F232" s="108"/>
      <c r="G232" s="108"/>
      <c r="H232" s="86"/>
      <c r="I232" s="86"/>
    </row>
    <row r="233" spans="1:9" x14ac:dyDescent="0.25">
      <c r="A233" s="106"/>
      <c r="B233" s="106"/>
      <c r="C233" s="107">
        <v>31</v>
      </c>
      <c r="D233" s="107" t="s">
        <v>44</v>
      </c>
      <c r="E233" s="105"/>
      <c r="F233" s="108"/>
      <c r="G233" s="108"/>
      <c r="H233" s="86"/>
      <c r="I233" s="86"/>
    </row>
    <row r="234" spans="1:9" ht="25.5" x14ac:dyDescent="0.25">
      <c r="A234" s="106"/>
      <c r="B234" s="106"/>
      <c r="C234" s="107">
        <v>43</v>
      </c>
      <c r="D234" s="113" t="s">
        <v>54</v>
      </c>
      <c r="E234" s="105"/>
      <c r="F234" s="108"/>
      <c r="G234" s="108"/>
      <c r="H234" s="86"/>
      <c r="I234" s="86"/>
    </row>
    <row r="235" spans="1:9" x14ac:dyDescent="0.25">
      <c r="A235" s="106"/>
      <c r="B235" s="106"/>
      <c r="C235" s="107">
        <v>44</v>
      </c>
      <c r="D235" s="107" t="s">
        <v>62</v>
      </c>
      <c r="E235" s="105">
        <v>1265.31</v>
      </c>
      <c r="F235" s="105">
        <v>3000</v>
      </c>
      <c r="G235" s="105">
        <v>1077.07</v>
      </c>
      <c r="H235" s="86">
        <f t="shared" si="24"/>
        <v>85.123013332701078</v>
      </c>
      <c r="I235" s="86">
        <f t="shared" si="25"/>
        <v>35.902333333333331</v>
      </c>
    </row>
    <row r="236" spans="1:9" x14ac:dyDescent="0.25">
      <c r="A236" s="106"/>
      <c r="B236" s="106"/>
      <c r="C236" s="107">
        <v>51</v>
      </c>
      <c r="D236" s="107" t="s">
        <v>57</v>
      </c>
      <c r="E236" s="105"/>
      <c r="F236" s="108"/>
      <c r="G236" s="108"/>
      <c r="H236" s="86"/>
      <c r="I236" s="86"/>
    </row>
    <row r="237" spans="1:9" x14ac:dyDescent="0.25">
      <c r="A237" s="106"/>
      <c r="B237" s="106"/>
      <c r="C237" s="107">
        <v>52</v>
      </c>
      <c r="D237" s="107" t="s">
        <v>53</v>
      </c>
      <c r="E237" s="105"/>
      <c r="F237" s="108"/>
      <c r="G237" s="108"/>
      <c r="H237" s="86"/>
      <c r="I237" s="86"/>
    </row>
    <row r="238" spans="1:9" x14ac:dyDescent="0.25">
      <c r="A238" s="106"/>
      <c r="B238" s="106"/>
      <c r="C238" s="107">
        <v>61</v>
      </c>
      <c r="D238" s="107" t="s">
        <v>58</v>
      </c>
      <c r="E238" s="105"/>
      <c r="F238" s="108"/>
      <c r="G238" s="108"/>
      <c r="H238" s="86"/>
      <c r="I238" s="86"/>
    </row>
    <row r="239" spans="1:9" x14ac:dyDescent="0.25">
      <c r="A239" s="109"/>
      <c r="B239" s="109">
        <v>3239</v>
      </c>
      <c r="C239" s="110"/>
      <c r="D239" s="111" t="s">
        <v>95</v>
      </c>
      <c r="E239" s="86">
        <f>SUM(E240:E246)</f>
        <v>11585</v>
      </c>
      <c r="F239" s="86">
        <f>SUM(F240:F246)</f>
        <v>12000</v>
      </c>
      <c r="G239" s="86">
        <f>SUM(G240:G246)</f>
        <v>56.37</v>
      </c>
      <c r="H239" s="86">
        <f t="shared" ref="H239:H247" si="26">(G239/E239)*100</f>
        <v>0.48657747086750108</v>
      </c>
      <c r="I239" s="86">
        <f t="shared" ref="I239:I247" si="27">(G239/F239)*100</f>
        <v>0.46974999999999995</v>
      </c>
    </row>
    <row r="240" spans="1:9" x14ac:dyDescent="0.25">
      <c r="A240" s="106"/>
      <c r="B240" s="106"/>
      <c r="C240" s="107">
        <v>11</v>
      </c>
      <c r="D240" s="107" t="s">
        <v>18</v>
      </c>
      <c r="E240" s="105"/>
      <c r="F240" s="108"/>
      <c r="G240" s="108"/>
      <c r="H240" s="86"/>
      <c r="I240" s="86"/>
    </row>
    <row r="241" spans="1:9" x14ac:dyDescent="0.25">
      <c r="A241" s="106"/>
      <c r="B241" s="106"/>
      <c r="C241" s="107">
        <v>31</v>
      </c>
      <c r="D241" s="107" t="s">
        <v>44</v>
      </c>
      <c r="E241" s="105"/>
      <c r="F241" s="108"/>
      <c r="G241" s="108"/>
      <c r="H241" s="86"/>
      <c r="I241" s="86"/>
    </row>
    <row r="242" spans="1:9" ht="25.5" x14ac:dyDescent="0.25">
      <c r="A242" s="106"/>
      <c r="B242" s="106"/>
      <c r="C242" s="107">
        <v>43</v>
      </c>
      <c r="D242" s="113" t="s">
        <v>54</v>
      </c>
      <c r="E242" s="105"/>
      <c r="F242" s="108"/>
      <c r="G242" s="108"/>
      <c r="H242" s="86"/>
      <c r="I242" s="86"/>
    </row>
    <row r="243" spans="1:9" x14ac:dyDescent="0.25">
      <c r="A243" s="106"/>
      <c r="B243" s="106"/>
      <c r="C243" s="107">
        <v>44</v>
      </c>
      <c r="D243" s="107" t="s">
        <v>62</v>
      </c>
      <c r="E243" s="105"/>
      <c r="F243" s="105">
        <v>500</v>
      </c>
      <c r="G243" s="105">
        <v>56.37</v>
      </c>
      <c r="H243" s="86"/>
      <c r="I243" s="86"/>
    </row>
    <row r="244" spans="1:9" x14ac:dyDescent="0.25">
      <c r="A244" s="106"/>
      <c r="B244" s="106"/>
      <c r="C244" s="107">
        <v>51</v>
      </c>
      <c r="D244" s="107" t="s">
        <v>57</v>
      </c>
      <c r="E244" s="105"/>
      <c r="F244" s="108"/>
      <c r="G244" s="108"/>
      <c r="H244" s="86"/>
      <c r="I244" s="86"/>
    </row>
    <row r="245" spans="1:9" x14ac:dyDescent="0.25">
      <c r="A245" s="106"/>
      <c r="B245" s="106"/>
      <c r="C245" s="107">
        <v>52</v>
      </c>
      <c r="D245" s="107" t="s">
        <v>53</v>
      </c>
      <c r="E245" s="105">
        <v>11585</v>
      </c>
      <c r="F245" s="108">
        <v>11500</v>
      </c>
      <c r="G245" s="108"/>
      <c r="H245" s="86"/>
      <c r="I245" s="86"/>
    </row>
    <row r="246" spans="1:9" x14ac:dyDescent="0.25">
      <c r="A246" s="106"/>
      <c r="B246" s="106"/>
      <c r="C246" s="107">
        <v>61</v>
      </c>
      <c r="D246" s="107" t="s">
        <v>58</v>
      </c>
      <c r="E246" s="105"/>
      <c r="F246" s="108"/>
      <c r="G246" s="108"/>
      <c r="H246" s="86"/>
      <c r="I246" s="86"/>
    </row>
    <row r="247" spans="1:9" x14ac:dyDescent="0.25">
      <c r="A247" s="109"/>
      <c r="B247" s="109">
        <v>3294</v>
      </c>
      <c r="C247" s="110"/>
      <c r="D247" s="111" t="s">
        <v>96</v>
      </c>
      <c r="E247" s="86">
        <f>SUM(E248:E254)</f>
        <v>158.09</v>
      </c>
      <c r="F247" s="86">
        <f>SUM(F248:F254)</f>
        <v>300</v>
      </c>
      <c r="G247" s="86">
        <f>SUM(G248:G254)</f>
        <v>150</v>
      </c>
      <c r="H247" s="86">
        <f t="shared" si="26"/>
        <v>94.882661774938327</v>
      </c>
      <c r="I247" s="86">
        <f t="shared" si="27"/>
        <v>50</v>
      </c>
    </row>
    <row r="248" spans="1:9" x14ac:dyDescent="0.25">
      <c r="A248" s="106"/>
      <c r="B248" s="106"/>
      <c r="C248" s="107">
        <v>11</v>
      </c>
      <c r="D248" s="107" t="s">
        <v>18</v>
      </c>
      <c r="E248" s="105"/>
      <c r="F248" s="108"/>
      <c r="G248" s="108"/>
      <c r="H248" s="86"/>
      <c r="I248" s="86"/>
    </row>
    <row r="249" spans="1:9" x14ac:dyDescent="0.25">
      <c r="A249" s="106"/>
      <c r="B249" s="106"/>
      <c r="C249" s="107">
        <v>31</v>
      </c>
      <c r="D249" s="107" t="s">
        <v>44</v>
      </c>
      <c r="E249" s="105"/>
      <c r="F249" s="108"/>
      <c r="G249" s="108"/>
      <c r="H249" s="86"/>
      <c r="I249" s="86"/>
    </row>
    <row r="250" spans="1:9" ht="25.5" x14ac:dyDescent="0.25">
      <c r="A250" s="106"/>
      <c r="B250" s="106"/>
      <c r="C250" s="107">
        <v>43</v>
      </c>
      <c r="D250" s="113" t="s">
        <v>54</v>
      </c>
      <c r="E250" s="105"/>
      <c r="F250" s="108"/>
      <c r="G250" s="108"/>
      <c r="H250" s="86"/>
      <c r="I250" s="86"/>
    </row>
    <row r="251" spans="1:9" x14ac:dyDescent="0.25">
      <c r="A251" s="106"/>
      <c r="B251" s="106"/>
      <c r="C251" s="107">
        <v>44</v>
      </c>
      <c r="D251" s="107" t="s">
        <v>62</v>
      </c>
      <c r="E251" s="105">
        <v>158.09</v>
      </c>
      <c r="F251" s="105">
        <v>300</v>
      </c>
      <c r="G251" s="105">
        <v>150</v>
      </c>
      <c r="H251" s="86">
        <f t="shared" ref="H248:H251" si="28">(G251/E251)*100</f>
        <v>94.882661774938327</v>
      </c>
      <c r="I251" s="86">
        <f t="shared" ref="I248:I251" si="29">(G251/F251)*100</f>
        <v>50</v>
      </c>
    </row>
    <row r="252" spans="1:9" x14ac:dyDescent="0.25">
      <c r="A252" s="106"/>
      <c r="B252" s="106"/>
      <c r="C252" s="107">
        <v>51</v>
      </c>
      <c r="D252" s="107" t="s">
        <v>57</v>
      </c>
      <c r="E252" s="105"/>
      <c r="F252" s="108"/>
      <c r="G252" s="108"/>
      <c r="H252" s="86"/>
      <c r="I252" s="86"/>
    </row>
    <row r="253" spans="1:9" x14ac:dyDescent="0.25">
      <c r="A253" s="106"/>
      <c r="B253" s="106"/>
      <c r="C253" s="107">
        <v>52</v>
      </c>
      <c r="D253" s="107" t="s">
        <v>53</v>
      </c>
      <c r="E253" s="105"/>
      <c r="F253" s="108"/>
      <c r="G253" s="108"/>
      <c r="H253" s="86"/>
      <c r="I253" s="86"/>
    </row>
    <row r="254" spans="1:9" x14ac:dyDescent="0.25">
      <c r="A254" s="106"/>
      <c r="B254" s="106"/>
      <c r="C254" s="107">
        <v>61</v>
      </c>
      <c r="D254" s="107" t="s">
        <v>58</v>
      </c>
      <c r="E254" s="105"/>
      <c r="F254" s="108"/>
      <c r="G254" s="108"/>
      <c r="H254" s="86"/>
      <c r="I254" s="86"/>
    </row>
    <row r="255" spans="1:9" x14ac:dyDescent="0.25">
      <c r="A255" s="109"/>
      <c r="B255" s="109">
        <v>3295</v>
      </c>
      <c r="C255" s="110"/>
      <c r="D255" s="111" t="s">
        <v>97</v>
      </c>
      <c r="E255" s="86">
        <f>SUM(E256:E262)</f>
        <v>2800</v>
      </c>
      <c r="F255" s="86">
        <f>SUM(F256:F262)</f>
        <v>6500</v>
      </c>
      <c r="G255" s="86">
        <f>SUM(G256:G262)</f>
        <v>3996</v>
      </c>
      <c r="H255" s="86">
        <f t="shared" ref="H255:H261" si="30">(G255/E255)*100</f>
        <v>142.71428571428569</v>
      </c>
      <c r="I255" s="86">
        <f t="shared" ref="I255:I261" si="31">(G255/F255)*100</f>
        <v>61.476923076923072</v>
      </c>
    </row>
    <row r="256" spans="1:9" x14ac:dyDescent="0.25">
      <c r="A256" s="106"/>
      <c r="B256" s="106"/>
      <c r="C256" s="107">
        <v>11</v>
      </c>
      <c r="D256" s="107" t="s">
        <v>18</v>
      </c>
      <c r="E256" s="105"/>
      <c r="F256" s="108"/>
      <c r="G256" s="108"/>
      <c r="H256" s="86"/>
      <c r="I256" s="86"/>
    </row>
    <row r="257" spans="1:9" x14ac:dyDescent="0.25">
      <c r="A257" s="106"/>
      <c r="B257" s="106"/>
      <c r="C257" s="107">
        <v>31</v>
      </c>
      <c r="D257" s="107" t="s">
        <v>44</v>
      </c>
      <c r="E257" s="105"/>
      <c r="F257" s="108"/>
      <c r="G257" s="108"/>
      <c r="H257" s="86"/>
      <c r="I257" s="86"/>
    </row>
    <row r="258" spans="1:9" ht="25.5" x14ac:dyDescent="0.25">
      <c r="A258" s="106"/>
      <c r="B258" s="106"/>
      <c r="C258" s="107">
        <v>43</v>
      </c>
      <c r="D258" s="113" t="s">
        <v>54</v>
      </c>
      <c r="E258" s="105"/>
      <c r="F258" s="108"/>
      <c r="G258" s="108"/>
      <c r="H258" s="86"/>
      <c r="I258" s="86"/>
    </row>
    <row r="259" spans="1:9" x14ac:dyDescent="0.25">
      <c r="A259" s="106"/>
      <c r="B259" s="106"/>
      <c r="C259" s="107">
        <v>44</v>
      </c>
      <c r="D259" s="107" t="s">
        <v>62</v>
      </c>
      <c r="E259" s="105"/>
      <c r="F259" s="108"/>
      <c r="G259" s="108"/>
      <c r="H259" s="86"/>
      <c r="I259" s="86"/>
    </row>
    <row r="260" spans="1:9" x14ac:dyDescent="0.25">
      <c r="A260" s="106"/>
      <c r="B260" s="106"/>
      <c r="C260" s="107">
        <v>51</v>
      </c>
      <c r="D260" s="107" t="s">
        <v>57</v>
      </c>
      <c r="E260" s="105"/>
      <c r="F260" s="108"/>
      <c r="G260" s="108"/>
      <c r="H260" s="86"/>
      <c r="I260" s="86"/>
    </row>
    <row r="261" spans="1:9" x14ac:dyDescent="0.25">
      <c r="A261" s="106"/>
      <c r="B261" s="106"/>
      <c r="C261" s="107">
        <v>52</v>
      </c>
      <c r="D261" s="107" t="s">
        <v>53</v>
      </c>
      <c r="E261" s="105">
        <v>2800</v>
      </c>
      <c r="F261" s="105">
        <v>6500</v>
      </c>
      <c r="G261" s="105">
        <v>3996</v>
      </c>
      <c r="H261" s="86">
        <f t="shared" si="30"/>
        <v>142.71428571428569</v>
      </c>
      <c r="I261" s="86">
        <f t="shared" si="31"/>
        <v>61.476923076923072</v>
      </c>
    </row>
    <row r="262" spans="1:9" x14ac:dyDescent="0.25">
      <c r="A262" s="106"/>
      <c r="B262" s="106"/>
      <c r="C262" s="107">
        <v>61</v>
      </c>
      <c r="D262" s="107" t="s">
        <v>58</v>
      </c>
      <c r="E262" s="105"/>
      <c r="F262" s="108"/>
      <c r="G262" s="108"/>
      <c r="H262" s="86"/>
      <c r="I262" s="86"/>
    </row>
    <row r="263" spans="1:9" ht="25.5" x14ac:dyDescent="0.25">
      <c r="A263" s="109"/>
      <c r="B263" s="109">
        <v>3296</v>
      </c>
      <c r="C263" s="110"/>
      <c r="D263" s="111" t="s">
        <v>115</v>
      </c>
      <c r="E263" s="86">
        <f>SUM(E264:E270)</f>
        <v>0</v>
      </c>
      <c r="F263" s="86">
        <f>SUM(F264:F270)</f>
        <v>0</v>
      </c>
      <c r="G263" s="86">
        <f>SUM(G264:G270)</f>
        <v>0</v>
      </c>
      <c r="H263" s="86"/>
      <c r="I263" s="86"/>
    </row>
    <row r="264" spans="1:9" x14ac:dyDescent="0.25">
      <c r="A264" s="106"/>
      <c r="B264" s="106"/>
      <c r="C264" s="107">
        <v>11</v>
      </c>
      <c r="D264" s="107" t="s">
        <v>18</v>
      </c>
      <c r="E264" s="105"/>
      <c r="F264" s="108"/>
      <c r="G264" s="108"/>
      <c r="H264" s="86"/>
      <c r="I264" s="86"/>
    </row>
    <row r="265" spans="1:9" x14ac:dyDescent="0.25">
      <c r="A265" s="106"/>
      <c r="B265" s="106"/>
      <c r="C265" s="107">
        <v>31</v>
      </c>
      <c r="D265" s="107" t="s">
        <v>44</v>
      </c>
      <c r="E265" s="105"/>
      <c r="F265" s="108"/>
      <c r="G265" s="108"/>
      <c r="H265" s="86"/>
      <c r="I265" s="86"/>
    </row>
    <row r="266" spans="1:9" ht="25.5" x14ac:dyDescent="0.25">
      <c r="A266" s="106"/>
      <c r="B266" s="106"/>
      <c r="C266" s="107">
        <v>43</v>
      </c>
      <c r="D266" s="113" t="s">
        <v>54</v>
      </c>
      <c r="E266" s="105"/>
      <c r="F266" s="108"/>
      <c r="G266" s="108"/>
      <c r="H266" s="86"/>
      <c r="I266" s="86"/>
    </row>
    <row r="267" spans="1:9" x14ac:dyDescent="0.25">
      <c r="A267" s="106"/>
      <c r="B267" s="106"/>
      <c r="C267" s="107">
        <v>44</v>
      </c>
      <c r="D267" s="107" t="s">
        <v>62</v>
      </c>
      <c r="E267" s="105"/>
      <c r="F267" s="108"/>
      <c r="G267" s="108"/>
      <c r="H267" s="86"/>
      <c r="I267" s="86"/>
    </row>
    <row r="268" spans="1:9" x14ac:dyDescent="0.25">
      <c r="A268" s="106"/>
      <c r="B268" s="106"/>
      <c r="C268" s="107">
        <v>51</v>
      </c>
      <c r="D268" s="107" t="s">
        <v>57</v>
      </c>
      <c r="E268" s="105"/>
      <c r="F268" s="108"/>
      <c r="G268" s="108"/>
      <c r="H268" s="86"/>
      <c r="I268" s="86"/>
    </row>
    <row r="269" spans="1:9" x14ac:dyDescent="0.25">
      <c r="A269" s="106"/>
      <c r="B269" s="106"/>
      <c r="C269" s="107">
        <v>52</v>
      </c>
      <c r="D269" s="107" t="s">
        <v>53</v>
      </c>
      <c r="E269" s="105"/>
      <c r="F269" s="105"/>
      <c r="G269" s="105"/>
      <c r="H269" s="86"/>
      <c r="I269" s="86"/>
    </row>
    <row r="270" spans="1:9" x14ac:dyDescent="0.25">
      <c r="A270" s="106"/>
      <c r="B270" s="106"/>
      <c r="C270" s="107">
        <v>61</v>
      </c>
      <c r="D270" s="107" t="s">
        <v>58</v>
      </c>
      <c r="E270" s="105"/>
      <c r="F270" s="108"/>
      <c r="G270" s="108"/>
      <c r="H270" s="86"/>
      <c r="I270" s="86"/>
    </row>
    <row r="271" spans="1:9" ht="25.5" x14ac:dyDescent="0.25">
      <c r="A271" s="109"/>
      <c r="B271" s="109">
        <v>3299</v>
      </c>
      <c r="C271" s="110"/>
      <c r="D271" s="111" t="s">
        <v>98</v>
      </c>
      <c r="E271" s="86">
        <f>SUM(E272:E278)</f>
        <v>1130.31</v>
      </c>
      <c r="F271" s="86">
        <f>SUM(F272:F278)</f>
        <v>4800</v>
      </c>
      <c r="G271" s="86">
        <f>SUM(G272:G278)</f>
        <v>1311.94</v>
      </c>
      <c r="H271" s="86">
        <f t="shared" ref="H271:H281" si="32">(G271/E271)*100</f>
        <v>116.06904300590104</v>
      </c>
      <c r="I271" s="86">
        <f t="shared" ref="I271" si="33">(G271/F271)*100</f>
        <v>27.332083333333333</v>
      </c>
    </row>
    <row r="272" spans="1:9" x14ac:dyDescent="0.25">
      <c r="A272" s="106"/>
      <c r="B272" s="106"/>
      <c r="C272" s="107">
        <v>11</v>
      </c>
      <c r="D272" s="107" t="s">
        <v>18</v>
      </c>
      <c r="E272" s="105"/>
      <c r="F272" s="108"/>
      <c r="G272" s="108"/>
      <c r="H272" s="86"/>
      <c r="I272" s="86"/>
    </row>
    <row r="273" spans="1:9" x14ac:dyDescent="0.25">
      <c r="A273" s="106"/>
      <c r="B273" s="106"/>
      <c r="C273" s="107">
        <v>31</v>
      </c>
      <c r="D273" s="107" t="s">
        <v>44</v>
      </c>
      <c r="E273" s="105"/>
      <c r="F273" s="108"/>
      <c r="G273" s="108"/>
      <c r="H273" s="86"/>
      <c r="I273" s="86"/>
    </row>
    <row r="274" spans="1:9" ht="25.5" x14ac:dyDescent="0.25">
      <c r="A274" s="106"/>
      <c r="B274" s="106"/>
      <c r="C274" s="107">
        <v>43</v>
      </c>
      <c r="D274" s="113" t="s">
        <v>54</v>
      </c>
      <c r="E274" s="105"/>
      <c r="F274" s="105"/>
      <c r="G274" s="105"/>
      <c r="H274" s="86"/>
      <c r="I274" s="86"/>
    </row>
    <row r="275" spans="1:9" x14ac:dyDescent="0.25">
      <c r="A275" s="106"/>
      <c r="B275" s="106"/>
      <c r="C275" s="107">
        <v>44</v>
      </c>
      <c r="D275" s="107" t="s">
        <v>62</v>
      </c>
      <c r="E275" s="105">
        <v>596.08000000000004</v>
      </c>
      <c r="F275" s="105">
        <v>500</v>
      </c>
      <c r="G275" s="105">
        <v>625.84</v>
      </c>
      <c r="H275" s="86">
        <f t="shared" ref="H272:H277" si="34">(G275/E275)*100</f>
        <v>104.99261844047778</v>
      </c>
      <c r="I275" s="86">
        <f t="shared" ref="I272:I277" si="35">(G275/F275)*100</f>
        <v>125.16800000000001</v>
      </c>
    </row>
    <row r="276" spans="1:9" x14ac:dyDescent="0.25">
      <c r="A276" s="106"/>
      <c r="B276" s="106"/>
      <c r="C276" s="107">
        <v>51</v>
      </c>
      <c r="D276" s="107" t="s">
        <v>57</v>
      </c>
      <c r="E276" s="105"/>
      <c r="F276" s="105"/>
      <c r="G276" s="105"/>
      <c r="H276" s="86"/>
      <c r="I276" s="86"/>
    </row>
    <row r="277" spans="1:9" x14ac:dyDescent="0.25">
      <c r="A277" s="106"/>
      <c r="B277" s="106"/>
      <c r="C277" s="107">
        <v>52</v>
      </c>
      <c r="D277" s="107" t="s">
        <v>53</v>
      </c>
      <c r="E277" s="105">
        <f>385.05+149.18</f>
        <v>534.23</v>
      </c>
      <c r="F277" s="105">
        <f>4200+100</f>
        <v>4300</v>
      </c>
      <c r="G277" s="105">
        <f>656.58+29.52</f>
        <v>686.1</v>
      </c>
      <c r="H277" s="86">
        <f t="shared" si="34"/>
        <v>128.42783070961946</v>
      </c>
      <c r="I277" s="86">
        <f t="shared" si="35"/>
        <v>15.955813953488374</v>
      </c>
    </row>
    <row r="278" spans="1:9" x14ac:dyDescent="0.25">
      <c r="A278" s="106"/>
      <c r="B278" s="106"/>
      <c r="C278" s="107">
        <v>61</v>
      </c>
      <c r="D278" s="107" t="s">
        <v>58</v>
      </c>
      <c r="E278" s="105"/>
      <c r="F278" s="108"/>
      <c r="G278" s="108"/>
      <c r="H278" s="86"/>
      <c r="I278" s="86"/>
    </row>
    <row r="279" spans="1:9" x14ac:dyDescent="0.25">
      <c r="A279" s="109"/>
      <c r="B279" s="109">
        <v>3431</v>
      </c>
      <c r="C279" s="110"/>
      <c r="D279" s="109" t="s">
        <v>99</v>
      </c>
      <c r="E279" s="86">
        <f>SUM(E280:E282)</f>
        <v>189.08</v>
      </c>
      <c r="F279" s="86">
        <f>SUM(F280:F282)</f>
        <v>400</v>
      </c>
      <c r="G279" s="86">
        <f>SUM(G280:G282)</f>
        <v>189.22</v>
      </c>
      <c r="H279" s="86">
        <f t="shared" si="32"/>
        <v>100.07404273323459</v>
      </c>
      <c r="I279" s="86">
        <f t="shared" ref="I279:I290" si="36">(G279/F279)*100</f>
        <v>47.305</v>
      </c>
    </row>
    <row r="280" spans="1:9" x14ac:dyDescent="0.25">
      <c r="A280" s="106"/>
      <c r="B280" s="106"/>
      <c r="C280" s="107">
        <v>11</v>
      </c>
      <c r="D280" s="107" t="s">
        <v>18</v>
      </c>
      <c r="E280" s="105"/>
      <c r="F280" s="108"/>
      <c r="G280" s="108"/>
      <c r="H280" s="86"/>
      <c r="I280" s="86"/>
    </row>
    <row r="281" spans="1:9" x14ac:dyDescent="0.25">
      <c r="A281" s="106"/>
      <c r="B281" s="106"/>
      <c r="C281" s="107">
        <v>44</v>
      </c>
      <c r="D281" s="107" t="s">
        <v>62</v>
      </c>
      <c r="E281" s="105">
        <v>189.08</v>
      </c>
      <c r="F281" s="105">
        <v>400</v>
      </c>
      <c r="G281" s="105">
        <v>189.22</v>
      </c>
      <c r="H281" s="86">
        <f t="shared" si="32"/>
        <v>100.07404273323459</v>
      </c>
      <c r="I281" s="86">
        <f t="shared" si="36"/>
        <v>47.305</v>
      </c>
    </row>
    <row r="282" spans="1:9" x14ac:dyDescent="0.25">
      <c r="A282" s="106"/>
      <c r="B282" s="106"/>
      <c r="C282" s="107">
        <v>52</v>
      </c>
      <c r="D282" s="107" t="s">
        <v>53</v>
      </c>
      <c r="E282" s="105"/>
      <c r="F282" s="108"/>
      <c r="G282" s="108"/>
      <c r="H282" s="86"/>
      <c r="I282" s="86"/>
    </row>
    <row r="283" spans="1:9" x14ac:dyDescent="0.25">
      <c r="A283" s="109"/>
      <c r="B283" s="109">
        <v>3433</v>
      </c>
      <c r="C283" s="110"/>
      <c r="D283" s="109" t="s">
        <v>116</v>
      </c>
      <c r="E283" s="86">
        <f>SUM(E284:E286)</f>
        <v>0</v>
      </c>
      <c r="F283" s="86">
        <f>SUM(F284:F286)</f>
        <v>0</v>
      </c>
      <c r="G283" s="86">
        <f>SUM(G284:G286)</f>
        <v>0</v>
      </c>
      <c r="H283" s="86"/>
      <c r="I283" s="86"/>
    </row>
    <row r="284" spans="1:9" x14ac:dyDescent="0.25">
      <c r="A284" s="106"/>
      <c r="B284" s="106"/>
      <c r="C284" s="107">
        <v>11</v>
      </c>
      <c r="D284" s="107" t="s">
        <v>18</v>
      </c>
      <c r="E284" s="105"/>
      <c r="F284" s="108"/>
      <c r="G284" s="108"/>
      <c r="H284" s="86"/>
      <c r="I284" s="86"/>
    </row>
    <row r="285" spans="1:9" x14ac:dyDescent="0.25">
      <c r="A285" s="106"/>
      <c r="B285" s="106"/>
      <c r="C285" s="107">
        <v>44</v>
      </c>
      <c r="D285" s="107" t="s">
        <v>62</v>
      </c>
      <c r="E285" s="105"/>
      <c r="F285" s="108"/>
      <c r="G285" s="108"/>
      <c r="H285" s="86"/>
      <c r="I285" s="86"/>
    </row>
    <row r="286" spans="1:9" x14ac:dyDescent="0.25">
      <c r="A286" s="106"/>
      <c r="B286" s="106"/>
      <c r="C286" s="107">
        <v>52</v>
      </c>
      <c r="D286" s="107" t="s">
        <v>53</v>
      </c>
      <c r="E286" s="105"/>
      <c r="F286" s="105"/>
      <c r="G286" s="105"/>
      <c r="H286" s="86"/>
      <c r="I286" s="86"/>
    </row>
    <row r="287" spans="1:9" ht="25.5" x14ac:dyDescent="0.25">
      <c r="A287" s="109"/>
      <c r="B287" s="109">
        <v>3722</v>
      </c>
      <c r="C287" s="110"/>
      <c r="D287" s="111" t="s">
        <v>63</v>
      </c>
      <c r="E287" s="86">
        <f>SUM(E288:E289)</f>
        <v>0</v>
      </c>
      <c r="F287" s="86">
        <f>SUM(F288:F289)</f>
        <v>31700</v>
      </c>
      <c r="G287" s="86">
        <f>SUM(G288:G289)</f>
        <v>0.01</v>
      </c>
      <c r="H287" s="86" t="e">
        <f>(G287/E287)*100</f>
        <v>#DIV/0!</v>
      </c>
      <c r="I287" s="86">
        <f t="shared" si="36"/>
        <v>3.1545741324921138E-5</v>
      </c>
    </row>
    <row r="288" spans="1:9" x14ac:dyDescent="0.25">
      <c r="A288" s="106"/>
      <c r="B288" s="106"/>
      <c r="C288" s="107">
        <v>52</v>
      </c>
      <c r="D288" s="107" t="s">
        <v>53</v>
      </c>
      <c r="E288" s="105"/>
      <c r="F288" s="105">
        <v>8400</v>
      </c>
      <c r="G288" s="105">
        <v>0.01</v>
      </c>
      <c r="H288" s="86" t="e">
        <f t="shared" ref="H288:H290" si="37">(G288/E288)*100</f>
        <v>#DIV/0!</v>
      </c>
      <c r="I288" s="86">
        <f t="shared" si="36"/>
        <v>1.1904761904761906E-4</v>
      </c>
    </row>
    <row r="289" spans="1:9" x14ac:dyDescent="0.25">
      <c r="A289" s="106"/>
      <c r="B289" s="109" t="s">
        <v>52</v>
      </c>
      <c r="C289" s="107">
        <v>11</v>
      </c>
      <c r="D289" s="107" t="s">
        <v>18</v>
      </c>
      <c r="E289" s="105"/>
      <c r="F289" s="108">
        <v>23300</v>
      </c>
      <c r="G289" s="108"/>
      <c r="H289" s="86"/>
      <c r="I289" s="86"/>
    </row>
    <row r="290" spans="1:9" ht="25.5" x14ac:dyDescent="0.25">
      <c r="A290" s="114">
        <v>4</v>
      </c>
      <c r="B290" s="115"/>
      <c r="C290" s="115"/>
      <c r="D290" s="116" t="s">
        <v>24</v>
      </c>
      <c r="E290" s="86">
        <f>E308</f>
        <v>0</v>
      </c>
      <c r="F290" s="86">
        <f>F293+F308+F291+F298+F303</f>
        <v>27500</v>
      </c>
      <c r="G290" s="86">
        <f t="shared" ref="G290" si="38">G293+G308+G291+G298+G303</f>
        <v>3288.58</v>
      </c>
      <c r="H290" s="86" t="e">
        <f t="shared" si="37"/>
        <v>#DIV/0!</v>
      </c>
      <c r="I290" s="86">
        <f t="shared" si="36"/>
        <v>11.958472727272728</v>
      </c>
    </row>
    <row r="291" spans="1:9" x14ac:dyDescent="0.25">
      <c r="A291" s="114"/>
      <c r="B291" s="115">
        <v>4123</v>
      </c>
      <c r="C291" s="115"/>
      <c r="D291" s="116" t="s">
        <v>111</v>
      </c>
      <c r="E291" s="112">
        <f>E292</f>
        <v>0</v>
      </c>
      <c r="F291" s="112">
        <f t="shared" ref="F291:G291" si="39">F292</f>
        <v>0</v>
      </c>
      <c r="G291" s="112">
        <f t="shared" si="39"/>
        <v>0</v>
      </c>
      <c r="H291" s="86"/>
      <c r="I291" s="86"/>
    </row>
    <row r="292" spans="1:9" x14ac:dyDescent="0.25">
      <c r="A292" s="114"/>
      <c r="B292" s="115"/>
      <c r="C292" s="118">
        <v>44</v>
      </c>
      <c r="D292" s="119" t="s">
        <v>62</v>
      </c>
      <c r="E292" s="105"/>
      <c r="F292" s="105"/>
      <c r="G292" s="105"/>
      <c r="H292" s="86"/>
      <c r="I292" s="86"/>
    </row>
    <row r="293" spans="1:9" ht="25.5" x14ac:dyDescent="0.25">
      <c r="A293" s="104"/>
      <c r="B293" s="103">
        <v>4221</v>
      </c>
      <c r="C293" s="104"/>
      <c r="D293" s="116" t="s">
        <v>100</v>
      </c>
      <c r="E293" s="112">
        <f>E294+E295+E297+E296</f>
        <v>0</v>
      </c>
      <c r="F293" s="112">
        <f t="shared" ref="F293:G293" si="40">F294+F295+F297+F296</f>
        <v>0</v>
      </c>
      <c r="G293" s="112">
        <f t="shared" si="40"/>
        <v>0</v>
      </c>
      <c r="H293" s="86"/>
      <c r="I293" s="86"/>
    </row>
    <row r="294" spans="1:9" x14ac:dyDescent="0.25">
      <c r="A294" s="104"/>
      <c r="B294" s="104"/>
      <c r="C294" s="107">
        <v>44</v>
      </c>
      <c r="D294" s="107" t="s">
        <v>62</v>
      </c>
      <c r="E294" s="105"/>
      <c r="F294" s="105"/>
      <c r="G294" s="105"/>
      <c r="H294" s="86"/>
      <c r="I294" s="86"/>
    </row>
    <row r="295" spans="1:9" x14ac:dyDescent="0.25">
      <c r="A295" s="104"/>
      <c r="B295" s="104"/>
      <c r="C295" s="107">
        <v>31</v>
      </c>
      <c r="D295" s="107" t="s">
        <v>44</v>
      </c>
      <c r="E295" s="105"/>
      <c r="F295" s="105"/>
      <c r="G295" s="105"/>
      <c r="H295" s="86"/>
      <c r="I295" s="86"/>
    </row>
    <row r="296" spans="1:9" x14ac:dyDescent="0.25">
      <c r="A296" s="104"/>
      <c r="B296" s="104"/>
      <c r="C296" s="107">
        <v>52</v>
      </c>
      <c r="D296" s="107" t="s">
        <v>53</v>
      </c>
      <c r="E296" s="105"/>
      <c r="F296" s="108"/>
      <c r="G296" s="108"/>
      <c r="H296" s="86"/>
      <c r="I296" s="86"/>
    </row>
    <row r="297" spans="1:9" x14ac:dyDescent="0.25">
      <c r="A297" s="104"/>
      <c r="B297" s="104"/>
      <c r="C297" s="107">
        <v>61</v>
      </c>
      <c r="D297" s="107" t="s">
        <v>58</v>
      </c>
      <c r="E297" s="105"/>
      <c r="F297" s="108"/>
      <c r="G297" s="108"/>
      <c r="H297" s="86"/>
      <c r="I297" s="86"/>
    </row>
    <row r="298" spans="1:9" ht="25.5" x14ac:dyDescent="0.25">
      <c r="A298" s="104"/>
      <c r="B298" s="103">
        <v>4226</v>
      </c>
      <c r="C298" s="104"/>
      <c r="D298" s="116" t="s">
        <v>157</v>
      </c>
      <c r="E298" s="112">
        <f>E299+E300+E302+E301</f>
        <v>0</v>
      </c>
      <c r="F298" s="112">
        <f t="shared" ref="F298:G298" si="41">F299+F300+F302+F301</f>
        <v>0</v>
      </c>
      <c r="G298" s="112">
        <f t="shared" si="41"/>
        <v>3288.58</v>
      </c>
      <c r="H298" s="86"/>
      <c r="I298" s="86"/>
    </row>
    <row r="299" spans="1:9" x14ac:dyDescent="0.25">
      <c r="A299" s="104"/>
      <c r="B299" s="104"/>
      <c r="C299" s="107">
        <v>11</v>
      </c>
      <c r="D299" s="107" t="s">
        <v>18</v>
      </c>
      <c r="E299" s="105"/>
      <c r="F299" s="108"/>
      <c r="G299" s="108">
        <v>3288.58</v>
      </c>
      <c r="H299" s="86"/>
      <c r="I299" s="86"/>
    </row>
    <row r="300" spans="1:9" x14ac:dyDescent="0.25">
      <c r="A300" s="104"/>
      <c r="B300" s="104"/>
      <c r="C300" s="107">
        <v>31</v>
      </c>
      <c r="D300" s="107" t="s">
        <v>44</v>
      </c>
      <c r="E300" s="105"/>
      <c r="F300" s="108"/>
      <c r="G300" s="108"/>
      <c r="H300" s="86"/>
      <c r="I300" s="86"/>
    </row>
    <row r="301" spans="1:9" x14ac:dyDescent="0.25">
      <c r="A301" s="104"/>
      <c r="B301" s="104"/>
      <c r="C301" s="107">
        <v>52</v>
      </c>
      <c r="D301" s="107" t="s">
        <v>53</v>
      </c>
      <c r="E301" s="105"/>
      <c r="F301" s="108"/>
      <c r="G301" s="108"/>
      <c r="H301" s="86"/>
      <c r="I301" s="86"/>
    </row>
    <row r="302" spans="1:9" x14ac:dyDescent="0.25">
      <c r="A302" s="104"/>
      <c r="B302" s="104"/>
      <c r="C302" s="107">
        <v>61</v>
      </c>
      <c r="D302" s="107" t="s">
        <v>58</v>
      </c>
      <c r="E302" s="105"/>
      <c r="F302" s="108"/>
      <c r="G302" s="108"/>
      <c r="H302" s="86"/>
      <c r="I302" s="86"/>
    </row>
    <row r="303" spans="1:9" ht="25.5" x14ac:dyDescent="0.25">
      <c r="A303" s="104"/>
      <c r="B303" s="103">
        <v>4227</v>
      </c>
      <c r="C303" s="104"/>
      <c r="D303" s="116" t="s">
        <v>112</v>
      </c>
      <c r="E303" s="112">
        <f>E304+E305+E307+E306</f>
        <v>0</v>
      </c>
      <c r="F303" s="112">
        <f t="shared" ref="F303:G303" si="42">F304+F305+F307+F306</f>
        <v>0</v>
      </c>
      <c r="G303" s="112">
        <f t="shared" si="42"/>
        <v>0</v>
      </c>
      <c r="H303" s="86"/>
      <c r="I303" s="86"/>
    </row>
    <row r="304" spans="1:9" x14ac:dyDescent="0.25">
      <c r="A304" s="104"/>
      <c r="B304" s="104"/>
      <c r="C304" s="107">
        <v>44</v>
      </c>
      <c r="D304" s="107" t="s">
        <v>62</v>
      </c>
      <c r="E304" s="105"/>
      <c r="F304" s="108"/>
      <c r="G304" s="108"/>
      <c r="H304" s="86"/>
      <c r="I304" s="86"/>
    </row>
    <row r="305" spans="1:9" x14ac:dyDescent="0.25">
      <c r="A305" s="104"/>
      <c r="B305" s="104"/>
      <c r="C305" s="107">
        <v>31</v>
      </c>
      <c r="D305" s="107" t="s">
        <v>44</v>
      </c>
      <c r="E305" s="105"/>
      <c r="F305" s="108"/>
      <c r="G305" s="108"/>
      <c r="H305" s="86"/>
      <c r="I305" s="86"/>
    </row>
    <row r="306" spans="1:9" x14ac:dyDescent="0.25">
      <c r="A306" s="104"/>
      <c r="B306" s="104"/>
      <c r="C306" s="107">
        <v>52</v>
      </c>
      <c r="D306" s="107" t="s">
        <v>53</v>
      </c>
      <c r="E306" s="105"/>
      <c r="F306" s="108"/>
      <c r="G306" s="108"/>
      <c r="H306" s="86"/>
      <c r="I306" s="86"/>
    </row>
    <row r="307" spans="1:9" x14ac:dyDescent="0.25">
      <c r="A307" s="104"/>
      <c r="B307" s="104"/>
      <c r="C307" s="107">
        <v>61</v>
      </c>
      <c r="D307" s="107" t="s">
        <v>58</v>
      </c>
      <c r="E307" s="105"/>
      <c r="F307" s="108"/>
      <c r="G307" s="108"/>
      <c r="H307" s="86"/>
      <c r="I307" s="86"/>
    </row>
    <row r="308" spans="1:9" x14ac:dyDescent="0.25">
      <c r="A308" s="120"/>
      <c r="B308" s="121">
        <v>4241</v>
      </c>
      <c r="C308" s="120"/>
      <c r="D308" s="122" t="s">
        <v>101</v>
      </c>
      <c r="E308" s="123">
        <f>SUM(E309:E312)</f>
        <v>0</v>
      </c>
      <c r="F308" s="123">
        <f>SUM(F309:F312)</f>
        <v>27500</v>
      </c>
      <c r="G308" s="123">
        <f>SUM(G309:G312)</f>
        <v>0</v>
      </c>
      <c r="H308" s="86" t="e">
        <f t="shared" ref="H308:H311" si="43">(G308/E308)*100</f>
        <v>#DIV/0!</v>
      </c>
      <c r="I308" s="86">
        <f t="shared" ref="I308:I311" si="44">(G308/F308)*100</f>
        <v>0</v>
      </c>
    </row>
    <row r="309" spans="1:9" x14ac:dyDescent="0.25">
      <c r="A309" s="120"/>
      <c r="B309" s="124"/>
      <c r="C309" s="125">
        <v>31</v>
      </c>
      <c r="D309" s="126" t="s">
        <v>44</v>
      </c>
      <c r="E309" s="127"/>
      <c r="F309" s="127"/>
      <c r="G309" s="127"/>
      <c r="H309" s="86"/>
      <c r="I309" s="86"/>
    </row>
    <row r="310" spans="1:9" x14ac:dyDescent="0.25">
      <c r="A310" s="128"/>
      <c r="B310" s="128"/>
      <c r="C310" s="129">
        <v>44</v>
      </c>
      <c r="D310" s="130" t="s">
        <v>62</v>
      </c>
      <c r="E310" s="131"/>
      <c r="F310" s="131"/>
      <c r="G310" s="131"/>
      <c r="H310" s="86"/>
      <c r="I310" s="86"/>
    </row>
    <row r="311" spans="1:9" x14ac:dyDescent="0.25">
      <c r="A311" s="128"/>
      <c r="B311" s="128"/>
      <c r="C311" s="129">
        <v>52</v>
      </c>
      <c r="D311" s="130" t="s">
        <v>53</v>
      </c>
      <c r="E311" s="131"/>
      <c r="F311" s="131">
        <v>27500</v>
      </c>
      <c r="G311" s="131"/>
      <c r="H311" s="86" t="e">
        <f t="shared" si="43"/>
        <v>#DIV/0!</v>
      </c>
      <c r="I311" s="86">
        <f t="shared" si="44"/>
        <v>0</v>
      </c>
    </row>
    <row r="312" spans="1:9" x14ac:dyDescent="0.25">
      <c r="A312" s="128"/>
      <c r="B312" s="128"/>
      <c r="C312" s="129">
        <v>61</v>
      </c>
      <c r="D312" s="130" t="s">
        <v>58</v>
      </c>
      <c r="E312" s="131"/>
      <c r="F312" s="131"/>
      <c r="G312" s="131"/>
      <c r="H312" s="86"/>
      <c r="I312" s="86"/>
    </row>
    <row r="314" spans="1:9" x14ac:dyDescent="0.25">
      <c r="A314" s="179" t="s">
        <v>123</v>
      </c>
      <c r="B314" s="180"/>
      <c r="C314" s="180"/>
      <c r="D314" s="181"/>
      <c r="E314" s="131">
        <f>SUM(E56,E290)</f>
        <v>1216472.4900000005</v>
      </c>
      <c r="F314" s="131">
        <f t="shared" ref="F314:G314" si="45">SUM(F56,F290)</f>
        <v>3010326.9999999995</v>
      </c>
      <c r="G314" s="131">
        <f t="shared" si="45"/>
        <v>1626025.5799999998</v>
      </c>
      <c r="H314" s="132"/>
      <c r="I314" s="132"/>
    </row>
    <row r="315" spans="1:9" x14ac:dyDescent="0.25">
      <c r="E315" s="133"/>
    </row>
    <row r="316" spans="1:9" x14ac:dyDescent="0.25">
      <c r="E316" s="133"/>
    </row>
    <row r="317" spans="1:9" x14ac:dyDescent="0.25">
      <c r="E317" s="133"/>
      <c r="G317" s="133"/>
    </row>
    <row r="318" spans="1:9" x14ac:dyDescent="0.25">
      <c r="E318" s="133"/>
      <c r="G318" s="133"/>
    </row>
    <row r="319" spans="1:9" x14ac:dyDescent="0.25">
      <c r="E319" s="133"/>
    </row>
    <row r="320" spans="1:9" x14ac:dyDescent="0.25">
      <c r="E320" s="133"/>
    </row>
    <row r="321" spans="5:5" x14ac:dyDescent="0.25">
      <c r="E321" s="133"/>
    </row>
    <row r="322" spans="5:5" x14ac:dyDescent="0.25">
      <c r="E322" s="133"/>
    </row>
    <row r="323" spans="5:5" x14ac:dyDescent="0.25">
      <c r="E323" s="133"/>
    </row>
  </sheetData>
  <mergeCells count="6">
    <mergeCell ref="A314:D314"/>
    <mergeCell ref="A7:I7"/>
    <mergeCell ref="A53:I53"/>
    <mergeCell ref="A1:I1"/>
    <mergeCell ref="A3:I3"/>
    <mergeCell ref="A5:I5"/>
  </mergeCells>
  <pageMargins left="0.25" right="0.25" top="0.75" bottom="0.75" header="0.3" footer="0.3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7"/>
  <sheetViews>
    <sheetView tabSelected="1" workbookViewId="0">
      <selection activeCell="C23" sqref="C2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58" t="s">
        <v>155</v>
      </c>
      <c r="B1" s="158"/>
      <c r="C1" s="158"/>
      <c r="D1" s="158"/>
      <c r="E1" s="158"/>
      <c r="F1" s="158"/>
    </row>
    <row r="2" spans="1:6" ht="18" customHeight="1" x14ac:dyDescent="0.25">
      <c r="A2" s="3"/>
      <c r="B2" s="3"/>
      <c r="C2" s="3"/>
      <c r="D2" s="3"/>
      <c r="E2" s="3"/>
      <c r="F2" s="3"/>
    </row>
    <row r="3" spans="1:6" ht="15.75" x14ac:dyDescent="0.25">
      <c r="A3" s="158" t="s">
        <v>37</v>
      </c>
      <c r="B3" s="158"/>
      <c r="C3" s="158"/>
      <c r="D3" s="158"/>
      <c r="E3" s="159"/>
      <c r="F3" s="159"/>
    </row>
    <row r="4" spans="1:6" ht="18" x14ac:dyDescent="0.25">
      <c r="A4" s="3"/>
      <c r="B4" s="3"/>
      <c r="C4" s="3"/>
      <c r="D4" s="3"/>
      <c r="E4" s="4"/>
      <c r="F4" s="4"/>
    </row>
    <row r="5" spans="1:6" ht="18" customHeight="1" x14ac:dyDescent="0.25">
      <c r="A5" s="158" t="s">
        <v>13</v>
      </c>
      <c r="B5" s="160"/>
      <c r="C5" s="160"/>
      <c r="D5" s="160"/>
      <c r="E5" s="160"/>
      <c r="F5" s="160"/>
    </row>
    <row r="6" spans="1:6" ht="18" x14ac:dyDescent="0.25">
      <c r="A6" s="3"/>
      <c r="B6" s="3"/>
      <c r="C6" s="3"/>
      <c r="D6" s="3"/>
      <c r="E6" s="4"/>
      <c r="F6" s="4"/>
    </row>
    <row r="7" spans="1:6" ht="15.75" x14ac:dyDescent="0.25">
      <c r="A7" s="158" t="s">
        <v>25</v>
      </c>
      <c r="B7" s="184"/>
      <c r="C7" s="184"/>
      <c r="D7" s="184"/>
      <c r="E7" s="184"/>
      <c r="F7" s="184"/>
    </row>
    <row r="8" spans="1:6" ht="18" x14ac:dyDescent="0.25">
      <c r="A8" s="3"/>
      <c r="B8" s="3"/>
      <c r="C8" s="3"/>
      <c r="D8" s="3"/>
      <c r="E8" s="4"/>
      <c r="F8" s="4"/>
    </row>
    <row r="9" spans="1:6" x14ac:dyDescent="0.25">
      <c r="A9" s="95" t="s">
        <v>26</v>
      </c>
      <c r="B9" s="150" t="s">
        <v>119</v>
      </c>
      <c r="C9" s="95" t="s">
        <v>153</v>
      </c>
      <c r="D9" s="95" t="s">
        <v>154</v>
      </c>
      <c r="E9" s="95" t="s">
        <v>108</v>
      </c>
      <c r="F9" s="95" t="s">
        <v>109</v>
      </c>
    </row>
    <row r="10" spans="1:6" ht="15.75" customHeight="1" x14ac:dyDescent="0.25">
      <c r="A10" s="10" t="s">
        <v>27</v>
      </c>
      <c r="B10" s="42">
        <f t="shared" ref="B10:D10" si="0">B16</f>
        <v>1216472.49</v>
      </c>
      <c r="C10" s="42">
        <f t="shared" si="0"/>
        <v>3015327</v>
      </c>
      <c r="D10" s="42">
        <f t="shared" si="0"/>
        <v>1626025.58</v>
      </c>
      <c r="E10" s="42">
        <f>(D10/B10)*100</f>
        <v>133.66727101243367</v>
      </c>
      <c r="F10" s="42">
        <f>(D10/C10)*100</f>
        <v>53.925348063410702</v>
      </c>
    </row>
    <row r="11" spans="1:6" ht="15.75" customHeight="1" x14ac:dyDescent="0.25">
      <c r="A11" s="10" t="s">
        <v>28</v>
      </c>
      <c r="B11" s="7"/>
      <c r="C11" s="8"/>
      <c r="D11" s="8"/>
      <c r="E11" s="42"/>
      <c r="F11" s="42"/>
    </row>
    <row r="12" spans="1:6" ht="25.5" x14ac:dyDescent="0.25">
      <c r="A12" s="17" t="s">
        <v>29</v>
      </c>
      <c r="B12" s="7"/>
      <c r="C12" s="8"/>
      <c r="D12" s="8"/>
      <c r="E12" s="42"/>
      <c r="F12" s="42"/>
    </row>
    <row r="13" spans="1:6" x14ac:dyDescent="0.25">
      <c r="A13" s="16" t="s">
        <v>30</v>
      </c>
      <c r="B13" s="7"/>
      <c r="C13" s="8"/>
      <c r="D13" s="8"/>
      <c r="E13" s="42"/>
      <c r="F13" s="42"/>
    </row>
    <row r="14" spans="1:6" x14ac:dyDescent="0.25">
      <c r="A14" s="10" t="s">
        <v>31</v>
      </c>
      <c r="B14" s="7"/>
      <c r="C14" s="8"/>
      <c r="D14" s="8"/>
      <c r="E14" s="42"/>
      <c r="F14" s="42"/>
    </row>
    <row r="15" spans="1:6" ht="25.5" x14ac:dyDescent="0.25">
      <c r="A15" s="18" t="s">
        <v>32</v>
      </c>
      <c r="B15" s="7"/>
      <c r="C15" s="8"/>
      <c r="D15" s="8"/>
      <c r="E15" s="42"/>
      <c r="F15" s="42"/>
    </row>
    <row r="16" spans="1:6" x14ac:dyDescent="0.25">
      <c r="A16" s="10" t="s">
        <v>64</v>
      </c>
      <c r="B16" s="42">
        <f t="shared" ref="B16:D16" si="1">B17</f>
        <v>1216472.49</v>
      </c>
      <c r="C16" s="42">
        <f t="shared" si="1"/>
        <v>3015327</v>
      </c>
      <c r="D16" s="42">
        <f t="shared" si="1"/>
        <v>1626025.58</v>
      </c>
      <c r="E16" s="42">
        <f t="shared" ref="E16:E17" si="2">(D16/B16)*100</f>
        <v>133.66727101243367</v>
      </c>
      <c r="F16" s="42">
        <f t="shared" ref="F16:F17" si="3">(D16/C16)*100</f>
        <v>53.925348063410702</v>
      </c>
    </row>
    <row r="17" spans="1:6" x14ac:dyDescent="0.25">
      <c r="A17" s="18" t="s">
        <v>65</v>
      </c>
      <c r="B17" s="7">
        <v>1216472.49</v>
      </c>
      <c r="C17" s="8">
        <v>3015327</v>
      </c>
      <c r="D17" s="8">
        <v>1626025.58</v>
      </c>
      <c r="E17" s="42">
        <f t="shared" si="2"/>
        <v>133.66727101243367</v>
      </c>
      <c r="F17" s="42">
        <f t="shared" si="3"/>
        <v>53.925348063410702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58" t="s">
        <v>155</v>
      </c>
      <c r="B1" s="158"/>
      <c r="C1" s="158"/>
      <c r="D1" s="158"/>
      <c r="E1" s="158"/>
      <c r="F1" s="158"/>
      <c r="G1" s="158"/>
      <c r="H1" s="158"/>
      <c r="I1" s="158"/>
    </row>
    <row r="2" spans="1:9" ht="18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158" t="s">
        <v>37</v>
      </c>
      <c r="B3" s="158"/>
      <c r="C3" s="158"/>
      <c r="D3" s="158"/>
      <c r="E3" s="158"/>
      <c r="F3" s="158"/>
      <c r="G3" s="158"/>
      <c r="H3" s="159"/>
      <c r="I3" s="159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9" ht="18" customHeight="1" x14ac:dyDescent="0.25">
      <c r="A5" s="158" t="s">
        <v>33</v>
      </c>
      <c r="B5" s="160"/>
      <c r="C5" s="160"/>
      <c r="D5" s="160"/>
      <c r="E5" s="160"/>
      <c r="F5" s="160"/>
      <c r="G5" s="160"/>
      <c r="H5" s="160"/>
      <c r="I5" s="160"/>
    </row>
    <row r="6" spans="1:9" ht="18" x14ac:dyDescent="0.25">
      <c r="A6" s="3"/>
      <c r="B6" s="3"/>
      <c r="C6" s="3"/>
      <c r="D6" s="3"/>
      <c r="E6" s="3"/>
      <c r="F6" s="3"/>
      <c r="G6" s="3"/>
      <c r="H6" s="4"/>
      <c r="I6" s="4"/>
    </row>
    <row r="7" spans="1:9" x14ac:dyDescent="0.25">
      <c r="A7" s="95" t="s">
        <v>14</v>
      </c>
      <c r="B7" s="96" t="s">
        <v>15</v>
      </c>
      <c r="C7" s="96" t="s">
        <v>16</v>
      </c>
      <c r="D7" s="96" t="s">
        <v>56</v>
      </c>
      <c r="E7" s="150" t="s">
        <v>119</v>
      </c>
      <c r="F7" s="95" t="s">
        <v>153</v>
      </c>
      <c r="G7" s="95" t="s">
        <v>154</v>
      </c>
      <c r="H7" s="95" t="s">
        <v>108</v>
      </c>
      <c r="I7" s="95" t="s">
        <v>109</v>
      </c>
    </row>
    <row r="8" spans="1:9" ht="25.5" x14ac:dyDescent="0.25">
      <c r="A8" s="10">
        <v>8</v>
      </c>
      <c r="B8" s="10"/>
      <c r="C8" s="10"/>
      <c r="D8" s="10" t="s">
        <v>34</v>
      </c>
      <c r="E8" s="7"/>
      <c r="F8" s="8"/>
      <c r="G8" s="8"/>
      <c r="H8" s="8"/>
      <c r="I8" s="8"/>
    </row>
    <row r="9" spans="1:9" x14ac:dyDescent="0.25">
      <c r="A9" s="10"/>
      <c r="B9" s="15">
        <v>84</v>
      </c>
      <c r="C9" s="15"/>
      <c r="D9" s="15" t="s">
        <v>41</v>
      </c>
      <c r="E9" s="7"/>
      <c r="F9" s="8"/>
      <c r="G9" s="8"/>
      <c r="H9" s="8"/>
      <c r="I9" s="8"/>
    </row>
    <row r="10" spans="1:9" ht="25.5" x14ac:dyDescent="0.25">
      <c r="A10" s="11"/>
      <c r="B10" s="11"/>
      <c r="C10" s="12">
        <v>81</v>
      </c>
      <c r="D10" s="17" t="s">
        <v>42</v>
      </c>
      <c r="E10" s="7"/>
      <c r="F10" s="8"/>
      <c r="G10" s="8"/>
      <c r="H10" s="8"/>
      <c r="I10" s="8"/>
    </row>
    <row r="11" spans="1:9" ht="25.5" x14ac:dyDescent="0.25">
      <c r="A11" s="13">
        <v>5</v>
      </c>
      <c r="B11" s="14"/>
      <c r="C11" s="14"/>
      <c r="D11" s="27" t="s">
        <v>35</v>
      </c>
      <c r="E11" s="7"/>
      <c r="F11" s="8"/>
      <c r="G11" s="8"/>
      <c r="H11" s="8"/>
      <c r="I11" s="8"/>
    </row>
    <row r="12" spans="1:9" ht="25.5" x14ac:dyDescent="0.25">
      <c r="A12" s="15"/>
      <c r="B12" s="15">
        <v>54</v>
      </c>
      <c r="C12" s="15"/>
      <c r="D12" s="28" t="s">
        <v>43</v>
      </c>
      <c r="E12" s="7"/>
      <c r="F12" s="8"/>
      <c r="G12" s="8"/>
      <c r="H12" s="8"/>
      <c r="I12" s="9"/>
    </row>
    <row r="13" spans="1:9" x14ac:dyDescent="0.25">
      <c r="A13" s="15"/>
      <c r="B13" s="15"/>
      <c r="C13" s="12">
        <v>11</v>
      </c>
      <c r="D13" s="12" t="s">
        <v>18</v>
      </c>
      <c r="E13" s="7"/>
      <c r="F13" s="8"/>
      <c r="G13" s="8"/>
      <c r="H13" s="8"/>
      <c r="I13" s="9"/>
    </row>
    <row r="14" spans="1:9" x14ac:dyDescent="0.25">
      <c r="A14" s="15"/>
      <c r="B14" s="15"/>
      <c r="C14" s="12">
        <v>31</v>
      </c>
      <c r="D14" s="12" t="s">
        <v>44</v>
      </c>
      <c r="E14" s="7"/>
      <c r="F14" s="8"/>
      <c r="G14" s="8"/>
      <c r="H14" s="8"/>
      <c r="I14" s="9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7"/>
  <sheetViews>
    <sheetView workbookViewId="0">
      <selection activeCell="H95" sqref="H95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58" t="s">
        <v>155</v>
      </c>
      <c r="B1" s="158"/>
      <c r="C1" s="158"/>
      <c r="D1" s="158"/>
      <c r="E1" s="158"/>
      <c r="F1" s="158"/>
      <c r="G1" s="158"/>
      <c r="H1" s="158"/>
      <c r="I1" s="158"/>
    </row>
    <row r="2" spans="1:9" ht="18" x14ac:dyDescent="0.25">
      <c r="A2" s="3"/>
      <c r="B2" s="3"/>
      <c r="C2" s="3"/>
      <c r="D2" s="3"/>
      <c r="E2" s="3"/>
      <c r="F2" s="3"/>
      <c r="G2" s="3"/>
      <c r="H2" s="4"/>
      <c r="I2" s="4"/>
    </row>
    <row r="3" spans="1:9" ht="18" customHeight="1" x14ac:dyDescent="0.25">
      <c r="A3" s="158" t="s">
        <v>36</v>
      </c>
      <c r="B3" s="160"/>
      <c r="C3" s="160"/>
      <c r="D3" s="160"/>
      <c r="E3" s="160"/>
      <c r="F3" s="160"/>
      <c r="G3" s="160"/>
      <c r="H3" s="160"/>
      <c r="I3" s="160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9" x14ac:dyDescent="0.25">
      <c r="A5" s="185" t="s">
        <v>38</v>
      </c>
      <c r="B5" s="186"/>
      <c r="C5" s="187"/>
      <c r="D5" s="96" t="s">
        <v>39</v>
      </c>
      <c r="E5" s="150" t="s">
        <v>119</v>
      </c>
      <c r="F5" s="95" t="s">
        <v>153</v>
      </c>
      <c r="G5" s="95" t="s">
        <v>154</v>
      </c>
      <c r="H5" s="95" t="s">
        <v>108</v>
      </c>
      <c r="I5" s="95" t="s">
        <v>109</v>
      </c>
    </row>
    <row r="6" spans="1:9" ht="38.25" x14ac:dyDescent="0.25">
      <c r="A6" s="188" t="s">
        <v>124</v>
      </c>
      <c r="B6" s="189"/>
      <c r="C6" s="190"/>
      <c r="D6" s="101" t="s">
        <v>122</v>
      </c>
      <c r="E6" s="77">
        <f>E8</f>
        <v>1078823.0499999998</v>
      </c>
      <c r="F6" s="77">
        <f>F8</f>
        <v>2538000</v>
      </c>
      <c r="G6" s="77">
        <f t="shared" ref="G6:I6" si="0">G8</f>
        <v>1386323.39</v>
      </c>
      <c r="H6" s="77">
        <f t="shared" si="0"/>
        <v>128.50331571984862</v>
      </c>
      <c r="I6" s="77">
        <f t="shared" si="0"/>
        <v>54.622671000788017</v>
      </c>
    </row>
    <row r="7" spans="1:9" x14ac:dyDescent="0.25">
      <c r="A7" s="188" t="s">
        <v>125</v>
      </c>
      <c r="B7" s="189"/>
      <c r="C7" s="190"/>
      <c r="D7" s="101" t="s">
        <v>45</v>
      </c>
      <c r="E7" s="78"/>
      <c r="F7" s="79"/>
      <c r="G7" s="79"/>
      <c r="H7" s="77"/>
      <c r="I7" s="77"/>
    </row>
    <row r="8" spans="1:9" x14ac:dyDescent="0.25">
      <c r="A8" s="191" t="s">
        <v>66</v>
      </c>
      <c r="B8" s="192"/>
      <c r="C8" s="193"/>
      <c r="D8" s="38" t="s">
        <v>46</v>
      </c>
      <c r="E8" s="77">
        <f>E9</f>
        <v>1078823.0499999998</v>
      </c>
      <c r="F8" s="77">
        <f>F9</f>
        <v>2538000</v>
      </c>
      <c r="G8" s="77">
        <f>G9</f>
        <v>1386323.39</v>
      </c>
      <c r="H8" s="77">
        <f t="shared" ref="H8:H16" si="1">(G8/E8)*100</f>
        <v>128.50331571984862</v>
      </c>
      <c r="I8" s="77">
        <f t="shared" ref="I8:I16" si="2">(G8/F8)*100</f>
        <v>54.622671000788017</v>
      </c>
    </row>
    <row r="9" spans="1:9" x14ac:dyDescent="0.25">
      <c r="A9" s="194">
        <v>3</v>
      </c>
      <c r="B9" s="195"/>
      <c r="C9" s="196"/>
      <c r="D9" s="29" t="s">
        <v>22</v>
      </c>
      <c r="E9" s="77">
        <f>SUM(E10:E16)</f>
        <v>1078823.0499999998</v>
      </c>
      <c r="F9" s="77">
        <f>SUM(F10:F16)</f>
        <v>2538000</v>
      </c>
      <c r="G9" s="77">
        <f>SUM(G10:G16)</f>
        <v>1386323.39</v>
      </c>
      <c r="H9" s="77">
        <f t="shared" si="1"/>
        <v>128.50331571984862</v>
      </c>
      <c r="I9" s="77">
        <f t="shared" si="2"/>
        <v>54.622671000788017</v>
      </c>
    </row>
    <row r="10" spans="1:9" x14ac:dyDescent="0.25">
      <c r="A10" s="197">
        <v>3111</v>
      </c>
      <c r="B10" s="198"/>
      <c r="C10" s="199"/>
      <c r="D10" s="29" t="s">
        <v>76</v>
      </c>
      <c r="E10" s="78">
        <f>845932.33</f>
        <v>845932.33</v>
      </c>
      <c r="F10" s="78">
        <f>1991416.3</f>
        <v>1991416.3</v>
      </c>
      <c r="G10" s="79">
        <f>963384.44+18613.52</f>
        <v>981997.96</v>
      </c>
      <c r="H10" s="77">
        <f t="shared" si="1"/>
        <v>116.08469438684297</v>
      </c>
      <c r="I10" s="77">
        <f t="shared" si="2"/>
        <v>49.311535714556513</v>
      </c>
    </row>
    <row r="11" spans="1:9" x14ac:dyDescent="0.25">
      <c r="A11" s="65">
        <v>3113</v>
      </c>
      <c r="B11" s="66"/>
      <c r="C11" s="67"/>
      <c r="D11" s="64" t="s">
        <v>113</v>
      </c>
      <c r="E11" s="78"/>
      <c r="F11" s="79"/>
      <c r="G11" s="79">
        <v>26226.5</v>
      </c>
      <c r="H11" s="77"/>
      <c r="I11" s="77"/>
    </row>
    <row r="12" spans="1:9" x14ac:dyDescent="0.25">
      <c r="A12" s="65">
        <v>3114</v>
      </c>
      <c r="B12" s="66"/>
      <c r="C12" s="67"/>
      <c r="D12" s="64" t="s">
        <v>114</v>
      </c>
      <c r="E12" s="78"/>
      <c r="F12" s="79"/>
      <c r="G12" s="79">
        <v>92217.18</v>
      </c>
      <c r="H12" s="77"/>
      <c r="I12" s="77"/>
    </row>
    <row r="13" spans="1:9" x14ac:dyDescent="0.25">
      <c r="A13" s="197">
        <v>3121</v>
      </c>
      <c r="B13" s="198"/>
      <c r="C13" s="199"/>
      <c r="D13" s="29" t="s">
        <v>77</v>
      </c>
      <c r="E13" s="78">
        <v>29750.57</v>
      </c>
      <c r="F13" s="79">
        <v>61500</v>
      </c>
      <c r="G13" s="79">
        <f>1545.04+20400+7500</f>
        <v>29445.040000000001</v>
      </c>
      <c r="H13" s="77">
        <f t="shared" ref="H13:H15" si="3">(G13/E13)*100</f>
        <v>98.973028079798141</v>
      </c>
      <c r="I13" s="77">
        <f t="shared" ref="I13:I15" si="4">(G13/F13)*100</f>
        <v>47.878113821138214</v>
      </c>
    </row>
    <row r="14" spans="1:9" ht="25.5" x14ac:dyDescent="0.25">
      <c r="A14" s="50">
        <v>3132</v>
      </c>
      <c r="B14" s="51"/>
      <c r="C14" s="52"/>
      <c r="D14" s="49" t="s">
        <v>102</v>
      </c>
      <c r="E14" s="78">
        <v>132660.13</v>
      </c>
      <c r="F14" s="79">
        <v>328583.7</v>
      </c>
      <c r="G14" s="79">
        <v>176014.76</v>
      </c>
      <c r="H14" s="77">
        <f t="shared" si="3"/>
        <v>132.68097958293873</v>
      </c>
      <c r="I14" s="77">
        <f t="shared" si="4"/>
        <v>53.56770892774049</v>
      </c>
    </row>
    <row r="15" spans="1:9" x14ac:dyDescent="0.25">
      <c r="A15" s="152">
        <v>3295</v>
      </c>
      <c r="B15" s="153"/>
      <c r="C15" s="154"/>
      <c r="D15" s="151" t="s">
        <v>97</v>
      </c>
      <c r="E15" s="78">
        <v>2800</v>
      </c>
      <c r="F15" s="79">
        <v>6500</v>
      </c>
      <c r="G15" s="79">
        <v>3996</v>
      </c>
      <c r="H15" s="77">
        <f t="shared" si="3"/>
        <v>142.71428571428569</v>
      </c>
      <c r="I15" s="77">
        <f t="shared" si="4"/>
        <v>61.476923076923072</v>
      </c>
    </row>
    <row r="16" spans="1:9" x14ac:dyDescent="0.25">
      <c r="A16" s="56">
        <v>3212</v>
      </c>
      <c r="B16" s="57"/>
      <c r="C16" s="58"/>
      <c r="D16" s="55" t="s">
        <v>103</v>
      </c>
      <c r="E16" s="78">
        <v>67680.02</v>
      </c>
      <c r="F16" s="79">
        <v>150000</v>
      </c>
      <c r="G16" s="79">
        <v>76425.95</v>
      </c>
      <c r="H16" s="77">
        <f t="shared" si="1"/>
        <v>112.92246958555863</v>
      </c>
      <c r="I16" s="77">
        <f t="shared" si="2"/>
        <v>50.950633333333329</v>
      </c>
    </row>
    <row r="19" spans="1:9" x14ac:dyDescent="0.25">
      <c r="A19" s="185" t="s">
        <v>38</v>
      </c>
      <c r="B19" s="186"/>
      <c r="C19" s="187"/>
      <c r="D19" s="96" t="s">
        <v>39</v>
      </c>
      <c r="E19" s="150" t="s">
        <v>119</v>
      </c>
      <c r="F19" s="95" t="s">
        <v>153</v>
      </c>
      <c r="G19" s="95" t="s">
        <v>154</v>
      </c>
      <c r="H19" s="95" t="s">
        <v>108</v>
      </c>
      <c r="I19" s="95" t="s">
        <v>109</v>
      </c>
    </row>
    <row r="20" spans="1:9" ht="25.5" x14ac:dyDescent="0.25">
      <c r="A20" s="188" t="s">
        <v>126</v>
      </c>
      <c r="B20" s="189"/>
      <c r="C20" s="190"/>
      <c r="D20" s="40" t="s">
        <v>120</v>
      </c>
      <c r="E20" s="77">
        <f>E22</f>
        <v>980</v>
      </c>
      <c r="F20" s="77">
        <f>F22</f>
        <v>3920</v>
      </c>
      <c r="G20" s="77">
        <f>G22</f>
        <v>728</v>
      </c>
      <c r="H20" s="77">
        <f>H22</f>
        <v>74.285714285714292</v>
      </c>
      <c r="I20" s="77">
        <f>I22</f>
        <v>18.571428571428573</v>
      </c>
    </row>
    <row r="21" spans="1:9" x14ac:dyDescent="0.25">
      <c r="A21" s="188" t="s">
        <v>127</v>
      </c>
      <c r="B21" s="189"/>
      <c r="C21" s="190"/>
      <c r="D21" s="40" t="s">
        <v>45</v>
      </c>
      <c r="E21" s="78"/>
      <c r="F21" s="79"/>
      <c r="G21" s="79"/>
      <c r="H21" s="77"/>
      <c r="I21" s="77"/>
    </row>
    <row r="22" spans="1:9" x14ac:dyDescent="0.25">
      <c r="A22" s="191" t="s">
        <v>121</v>
      </c>
      <c r="B22" s="192"/>
      <c r="C22" s="193"/>
      <c r="D22" s="41" t="s">
        <v>46</v>
      </c>
      <c r="E22" s="77">
        <f>E23</f>
        <v>980</v>
      </c>
      <c r="F22" s="77">
        <f>F23</f>
        <v>3920</v>
      </c>
      <c r="G22" s="77">
        <f>G23</f>
        <v>728</v>
      </c>
      <c r="H22" s="77">
        <f t="shared" ref="H22:H24" si="5">(G22/E22)*100</f>
        <v>74.285714285714292</v>
      </c>
      <c r="I22" s="77">
        <f t="shared" ref="I22:I24" si="6">(G22/F22)*100</f>
        <v>18.571428571428573</v>
      </c>
    </row>
    <row r="23" spans="1:9" x14ac:dyDescent="0.25">
      <c r="A23" s="194">
        <v>3</v>
      </c>
      <c r="B23" s="195"/>
      <c r="C23" s="196"/>
      <c r="D23" s="39" t="s">
        <v>22</v>
      </c>
      <c r="E23" s="77">
        <f>E24+E25+E26+E27+E29</f>
        <v>980</v>
      </c>
      <c r="F23" s="77">
        <f t="shared" ref="F23" si="7">F24+F25+F26+F27+F29</f>
        <v>3920</v>
      </c>
      <c r="G23" s="77">
        <f>SUM(G24:G29)</f>
        <v>728</v>
      </c>
      <c r="H23" s="77">
        <f t="shared" si="5"/>
        <v>74.285714285714292</v>
      </c>
      <c r="I23" s="77">
        <f t="shared" si="6"/>
        <v>18.571428571428573</v>
      </c>
    </row>
    <row r="24" spans="1:9" x14ac:dyDescent="0.25">
      <c r="A24" s="197">
        <v>3111</v>
      </c>
      <c r="B24" s="198"/>
      <c r="C24" s="199"/>
      <c r="D24" s="39" t="s">
        <v>76</v>
      </c>
      <c r="E24" s="78">
        <v>841.2</v>
      </c>
      <c r="F24" s="79">
        <v>3370</v>
      </c>
      <c r="G24" s="79">
        <v>624.91</v>
      </c>
      <c r="H24" s="77">
        <f t="shared" si="5"/>
        <v>74.287922016167371</v>
      </c>
      <c r="I24" s="77">
        <f t="shared" si="6"/>
        <v>18.543323442136497</v>
      </c>
    </row>
    <row r="25" spans="1:9" x14ac:dyDescent="0.25">
      <c r="A25" s="197">
        <v>3121</v>
      </c>
      <c r="B25" s="198"/>
      <c r="C25" s="199"/>
      <c r="D25" s="39" t="s">
        <v>77</v>
      </c>
      <c r="E25" s="78"/>
      <c r="F25" s="79"/>
      <c r="G25" s="79"/>
      <c r="H25" s="77"/>
      <c r="I25" s="77"/>
    </row>
    <row r="26" spans="1:9" ht="25.5" x14ac:dyDescent="0.25">
      <c r="A26" s="56">
        <v>3132</v>
      </c>
      <c r="B26" s="57"/>
      <c r="C26" s="58"/>
      <c r="D26" s="55" t="s">
        <v>102</v>
      </c>
      <c r="E26" s="78">
        <v>138.80000000000001</v>
      </c>
      <c r="F26" s="79">
        <v>550</v>
      </c>
      <c r="G26" s="79">
        <v>103.09</v>
      </c>
      <c r="H26" s="77">
        <f t="shared" ref="H25:H26" si="8">(G26/E26)*100</f>
        <v>74.272334293948134</v>
      </c>
      <c r="I26" s="77">
        <f t="shared" ref="I25:I26" si="9">(G26/F26)*100</f>
        <v>18.743636363636366</v>
      </c>
    </row>
    <row r="27" spans="1:9" x14ac:dyDescent="0.25">
      <c r="A27" s="56">
        <v>3212</v>
      </c>
      <c r="B27" s="57"/>
      <c r="C27" s="58"/>
      <c r="D27" s="55" t="s">
        <v>103</v>
      </c>
      <c r="E27" s="78"/>
      <c r="F27" s="79"/>
      <c r="G27" s="79"/>
      <c r="H27" s="77"/>
      <c r="I27" s="77">
        <v>0</v>
      </c>
    </row>
    <row r="28" spans="1:9" ht="25.5" x14ac:dyDescent="0.25">
      <c r="A28" s="74">
        <v>3221</v>
      </c>
      <c r="B28" s="75"/>
      <c r="C28" s="76"/>
      <c r="D28" s="73" t="s">
        <v>104</v>
      </c>
      <c r="E28" s="78"/>
      <c r="F28" s="79"/>
      <c r="G28" s="79"/>
      <c r="H28" s="77"/>
      <c r="I28" s="77"/>
    </row>
    <row r="29" spans="1:9" x14ac:dyDescent="0.25">
      <c r="A29" s="56">
        <v>3222</v>
      </c>
      <c r="B29" s="57"/>
      <c r="C29" s="58"/>
      <c r="D29" s="55" t="s">
        <v>84</v>
      </c>
      <c r="E29" s="78"/>
      <c r="F29" s="79"/>
      <c r="G29" s="79"/>
      <c r="H29" s="77"/>
      <c r="I29" s="77">
        <v>0</v>
      </c>
    </row>
    <row r="32" spans="1:9" x14ac:dyDescent="0.25">
      <c r="A32" s="185" t="s">
        <v>38</v>
      </c>
      <c r="B32" s="200"/>
      <c r="C32" s="201"/>
      <c r="D32" s="96" t="s">
        <v>39</v>
      </c>
      <c r="E32" s="150" t="s">
        <v>119</v>
      </c>
      <c r="F32" s="95" t="s">
        <v>153</v>
      </c>
      <c r="G32" s="95" t="s">
        <v>154</v>
      </c>
      <c r="H32" s="95" t="s">
        <v>108</v>
      </c>
      <c r="I32" s="95" t="s">
        <v>109</v>
      </c>
    </row>
    <row r="33" spans="1:9" ht="39" customHeight="1" x14ac:dyDescent="0.25">
      <c r="A33" s="188" t="s">
        <v>129</v>
      </c>
      <c r="B33" s="189"/>
      <c r="C33" s="190"/>
      <c r="D33" s="101" t="s">
        <v>128</v>
      </c>
      <c r="E33" s="77">
        <f>E35</f>
        <v>21217.58</v>
      </c>
      <c r="F33" s="77">
        <f t="shared" ref="F33:I33" si="10">F35</f>
        <v>109300</v>
      </c>
      <c r="G33" s="77">
        <f t="shared" si="10"/>
        <v>63399.14</v>
      </c>
      <c r="H33" s="77">
        <f t="shared" si="10"/>
        <v>298.80476472811694</v>
      </c>
      <c r="I33" s="77">
        <f t="shared" si="10"/>
        <v>58.004702653247939</v>
      </c>
    </row>
    <row r="34" spans="1:9" x14ac:dyDescent="0.25">
      <c r="A34" s="188" t="s">
        <v>130</v>
      </c>
      <c r="B34" s="189"/>
      <c r="C34" s="190"/>
      <c r="D34" s="101" t="s">
        <v>45</v>
      </c>
      <c r="E34" s="78"/>
      <c r="F34" s="79"/>
      <c r="G34" s="79"/>
      <c r="H34" s="77"/>
      <c r="I34" s="77"/>
    </row>
    <row r="35" spans="1:9" x14ac:dyDescent="0.25">
      <c r="A35" s="191" t="s">
        <v>68</v>
      </c>
      <c r="B35" s="192"/>
      <c r="C35" s="193"/>
      <c r="D35" s="41" t="s">
        <v>46</v>
      </c>
      <c r="E35" s="77">
        <f>E36</f>
        <v>21217.58</v>
      </c>
      <c r="F35" s="77">
        <f>F36</f>
        <v>109300</v>
      </c>
      <c r="G35" s="77">
        <f>G36</f>
        <v>63399.14</v>
      </c>
      <c r="H35" s="77">
        <f t="shared" ref="H35:H41" si="11">(G35/E35)*100</f>
        <v>298.80476472811694</v>
      </c>
      <c r="I35" s="77">
        <f t="shared" ref="I35:I41" si="12">(G35/F35)*100</f>
        <v>58.004702653247939</v>
      </c>
    </row>
    <row r="36" spans="1:9" x14ac:dyDescent="0.25">
      <c r="A36" s="194">
        <v>3</v>
      </c>
      <c r="B36" s="195"/>
      <c r="C36" s="196"/>
      <c r="D36" s="39" t="s">
        <v>22</v>
      </c>
      <c r="E36" s="77">
        <f>E37+E38+E39+E41</f>
        <v>21217.58</v>
      </c>
      <c r="F36" s="77">
        <f t="shared" ref="F36" si="13">F37+F39+F41</f>
        <v>109300</v>
      </c>
      <c r="G36" s="77">
        <f>SUM(G37,G38,G39,G40,G41,G42)</f>
        <v>63399.14</v>
      </c>
      <c r="H36" s="77">
        <f t="shared" si="11"/>
        <v>298.80476472811694</v>
      </c>
      <c r="I36" s="77">
        <f t="shared" si="12"/>
        <v>58.004702653247939</v>
      </c>
    </row>
    <row r="37" spans="1:9" x14ac:dyDescent="0.25">
      <c r="A37" s="197">
        <v>3111</v>
      </c>
      <c r="B37" s="198"/>
      <c r="C37" s="199"/>
      <c r="D37" s="39" t="s">
        <v>76</v>
      </c>
      <c r="E37" s="78">
        <v>15000.97</v>
      </c>
      <c r="F37" s="79">
        <f>59570.8+29871.3</f>
        <v>89442.1</v>
      </c>
      <c r="G37" s="79">
        <f>1597.99+47782.08</f>
        <v>49380.07</v>
      </c>
      <c r="H37" s="77">
        <f t="shared" si="11"/>
        <v>329.17917974637641</v>
      </c>
      <c r="I37" s="77">
        <f t="shared" si="12"/>
        <v>55.208978769505634</v>
      </c>
    </row>
    <row r="38" spans="1:9" x14ac:dyDescent="0.25">
      <c r="A38" s="68">
        <v>3121</v>
      </c>
      <c r="B38" s="69"/>
      <c r="C38" s="70"/>
      <c r="D38" s="71" t="s">
        <v>77</v>
      </c>
      <c r="E38" s="78">
        <v>2000</v>
      </c>
      <c r="F38" s="79">
        <f>4300+2700</f>
        <v>7000</v>
      </c>
      <c r="G38" s="79">
        <f>2700+900</f>
        <v>3600</v>
      </c>
      <c r="H38" s="77">
        <f t="shared" si="11"/>
        <v>180</v>
      </c>
      <c r="I38" s="77">
        <f t="shared" si="12"/>
        <v>51.428571428571423</v>
      </c>
    </row>
    <row r="39" spans="1:9" ht="25.5" x14ac:dyDescent="0.25">
      <c r="A39" s="197">
        <v>3132</v>
      </c>
      <c r="B39" s="198"/>
      <c r="C39" s="199"/>
      <c r="D39" s="39" t="s">
        <v>102</v>
      </c>
      <c r="E39" s="78">
        <v>2475.19</v>
      </c>
      <c r="F39" s="79">
        <f>9829.2+4928.7</f>
        <v>14757.900000000001</v>
      </c>
      <c r="G39" s="79">
        <v>7982.72</v>
      </c>
      <c r="H39" s="77">
        <f t="shared" si="11"/>
        <v>322.50938311806362</v>
      </c>
      <c r="I39" s="77">
        <f t="shared" si="12"/>
        <v>54.091164732109576</v>
      </c>
    </row>
    <row r="40" spans="1:9" x14ac:dyDescent="0.25">
      <c r="A40" s="53">
        <v>3211</v>
      </c>
      <c r="B40" s="141"/>
      <c r="C40" s="142"/>
      <c r="D40" s="142" t="s">
        <v>79</v>
      </c>
      <c r="E40" s="78"/>
      <c r="F40" s="79">
        <v>0</v>
      </c>
      <c r="G40" s="79"/>
      <c r="H40" s="77">
        <v>0</v>
      </c>
      <c r="I40" s="77">
        <v>0</v>
      </c>
    </row>
    <row r="41" spans="1:9" x14ac:dyDescent="0.25">
      <c r="A41" s="60">
        <v>3212</v>
      </c>
      <c r="B41" s="61"/>
      <c r="C41" s="62"/>
      <c r="D41" s="59" t="s">
        <v>103</v>
      </c>
      <c r="E41" s="78">
        <v>1741.42</v>
      </c>
      <c r="F41" s="79">
        <f>3400+1700</f>
        <v>5100</v>
      </c>
      <c r="G41" s="79">
        <v>2436.35</v>
      </c>
      <c r="H41" s="77">
        <f t="shared" si="11"/>
        <v>139.90593883152829</v>
      </c>
      <c r="I41" s="77">
        <f t="shared" si="12"/>
        <v>47.771568627450975</v>
      </c>
    </row>
    <row r="42" spans="1:9" x14ac:dyDescent="0.25">
      <c r="A42" s="135">
        <v>3237</v>
      </c>
      <c r="B42" s="136"/>
      <c r="C42" s="137"/>
      <c r="D42" s="145" t="s">
        <v>93</v>
      </c>
      <c r="E42" s="79"/>
      <c r="F42" s="79"/>
      <c r="G42" s="79"/>
      <c r="H42" s="77">
        <v>0</v>
      </c>
      <c r="I42" s="77"/>
    </row>
    <row r="43" spans="1:9" x14ac:dyDescent="0.25">
      <c r="A43" s="143"/>
      <c r="B43" s="143"/>
      <c r="C43" s="143"/>
      <c r="D43" s="144"/>
      <c r="E43" s="98"/>
      <c r="F43" s="98"/>
      <c r="G43" s="98"/>
      <c r="H43" s="99"/>
      <c r="I43" s="99"/>
    </row>
    <row r="45" spans="1:9" x14ac:dyDescent="0.25">
      <c r="A45" s="185" t="s">
        <v>38</v>
      </c>
      <c r="B45" s="200"/>
      <c r="C45" s="201"/>
      <c r="D45" s="96" t="s">
        <v>39</v>
      </c>
      <c r="E45" s="150" t="s">
        <v>119</v>
      </c>
      <c r="F45" s="95" t="s">
        <v>153</v>
      </c>
      <c r="G45" s="95" t="s">
        <v>154</v>
      </c>
      <c r="H45" s="95" t="s">
        <v>108</v>
      </c>
      <c r="I45" s="95" t="s">
        <v>109</v>
      </c>
    </row>
    <row r="46" spans="1:9" ht="25.5" x14ac:dyDescent="0.25">
      <c r="A46" s="188" t="s">
        <v>131</v>
      </c>
      <c r="B46" s="189"/>
      <c r="C46" s="190"/>
      <c r="D46" s="101" t="s">
        <v>139</v>
      </c>
      <c r="E46" s="77">
        <f>E48+E54</f>
        <v>21695.34</v>
      </c>
      <c r="F46" s="77">
        <f>F48+F54</f>
        <v>136828.75128500001</v>
      </c>
      <c r="G46" s="77">
        <f>G48</f>
        <v>53674.02</v>
      </c>
      <c r="H46" s="77">
        <f>(G46/E46)*100</f>
        <v>247.39884233203995</v>
      </c>
      <c r="I46" s="77">
        <f>(G46/F46)*100</f>
        <v>39.227150358335592</v>
      </c>
    </row>
    <row r="47" spans="1:9" ht="30" customHeight="1" x14ac:dyDescent="0.25">
      <c r="A47" s="188" t="s">
        <v>132</v>
      </c>
      <c r="B47" s="189"/>
      <c r="C47" s="190"/>
      <c r="D47" s="101" t="s">
        <v>45</v>
      </c>
      <c r="E47" s="78"/>
      <c r="F47" s="79"/>
      <c r="G47" s="79"/>
      <c r="H47" s="77"/>
      <c r="I47" s="77"/>
    </row>
    <row r="48" spans="1:9" x14ac:dyDescent="0.25">
      <c r="A48" s="191" t="s">
        <v>67</v>
      </c>
      <c r="B48" s="192"/>
      <c r="C48" s="193"/>
      <c r="D48" s="85" t="s">
        <v>46</v>
      </c>
      <c r="E48" s="77">
        <f>E49</f>
        <v>21695.34</v>
      </c>
      <c r="F48" s="77">
        <f>F49</f>
        <v>136828.75128500001</v>
      </c>
      <c r="G48" s="77">
        <f>G49</f>
        <v>53674.02</v>
      </c>
      <c r="H48" s="77">
        <f t="shared" ref="H48:H53" si="14">(G48/E48)*100</f>
        <v>247.39884233203995</v>
      </c>
      <c r="I48" s="77">
        <f t="shared" ref="I48:I50" si="15">(G48/F48)*100</f>
        <v>39.227150358335592</v>
      </c>
    </row>
    <row r="49" spans="1:9" x14ac:dyDescent="0.25">
      <c r="A49" s="194">
        <v>3</v>
      </c>
      <c r="B49" s="195"/>
      <c r="C49" s="196"/>
      <c r="D49" s="81" t="s">
        <v>22</v>
      </c>
      <c r="E49" s="77">
        <f>E50+E51+E52+E53</f>
        <v>21695.34</v>
      </c>
      <c r="F49" s="77">
        <f t="shared" ref="F49" si="16">F50+F52+F53</f>
        <v>136828.75128500001</v>
      </c>
      <c r="G49" s="77">
        <f>SUM(G50:G54)</f>
        <v>53674.02</v>
      </c>
      <c r="H49" s="77">
        <f t="shared" si="14"/>
        <v>247.39884233203995</v>
      </c>
      <c r="I49" s="77">
        <f t="shared" si="15"/>
        <v>39.227150358335592</v>
      </c>
    </row>
    <row r="50" spans="1:9" x14ac:dyDescent="0.25">
      <c r="A50" s="197">
        <v>3111</v>
      </c>
      <c r="B50" s="198"/>
      <c r="C50" s="199"/>
      <c r="D50" s="81" t="s">
        <v>76</v>
      </c>
      <c r="E50" s="78">
        <f>2394.84+2035.62+11535.15</f>
        <v>15965.61</v>
      </c>
      <c r="F50" s="78">
        <f>9162.2+4550.2+7787.9+33868.68+21916.9+44131.42</f>
        <v>121417.3</v>
      </c>
      <c r="G50" s="79">
        <f>310.7+40894.17</f>
        <v>41204.869999999995</v>
      </c>
      <c r="H50" s="77">
        <f t="shared" si="14"/>
        <v>258.08515928924731</v>
      </c>
      <c r="I50" s="77">
        <f t="shared" si="15"/>
        <v>33.936572465373544</v>
      </c>
    </row>
    <row r="51" spans="1:9" x14ac:dyDescent="0.25">
      <c r="A51" s="82">
        <v>3121</v>
      </c>
      <c r="B51" s="83"/>
      <c r="C51" s="84"/>
      <c r="D51" s="81" t="s">
        <v>77</v>
      </c>
      <c r="E51" s="78">
        <f>255+300+1445</f>
        <v>2000</v>
      </c>
      <c r="F51" s="79">
        <f>480+360+2312+3616.25</f>
        <v>6768.25</v>
      </c>
      <c r="G51" s="79">
        <f>2100+800+220.72</f>
        <v>3120.72</v>
      </c>
      <c r="H51" s="77">
        <f t="shared" ref="H51:H53" si="17">(G51/E51)*100</f>
        <v>156.036</v>
      </c>
      <c r="I51" s="77">
        <f t="shared" ref="I51:I53" si="18">(G51/F51)*100</f>
        <v>46.108225907730947</v>
      </c>
    </row>
    <row r="52" spans="1:9" ht="25.5" x14ac:dyDescent="0.25">
      <c r="A52" s="197">
        <v>3132</v>
      </c>
      <c r="B52" s="198"/>
      <c r="C52" s="199"/>
      <c r="D52" s="81" t="s">
        <v>102</v>
      </c>
      <c r="E52" s="78">
        <f>395.15+335.88+1903.31</f>
        <v>2634.34</v>
      </c>
      <c r="F52" s="79">
        <f>1511.8+750.801285+638.17+7281.68+1734</f>
        <v>11916.451284999999</v>
      </c>
      <c r="G52" s="79">
        <v>6963.81</v>
      </c>
      <c r="H52" s="77">
        <f t="shared" si="17"/>
        <v>264.34742667992742</v>
      </c>
      <c r="I52" s="77">
        <f t="shared" si="18"/>
        <v>58.438622652414942</v>
      </c>
    </row>
    <row r="53" spans="1:9" x14ac:dyDescent="0.25">
      <c r="A53" s="82">
        <v>3212</v>
      </c>
      <c r="B53" s="83"/>
      <c r="C53" s="84"/>
      <c r="D53" s="81" t="s">
        <v>103</v>
      </c>
      <c r="E53" s="78">
        <f>164.31+791.42+139.66</f>
        <v>1095.3900000000001</v>
      </c>
      <c r="F53" s="78">
        <f>838.1+1690.65+293.35+147.9+351+174</f>
        <v>3495</v>
      </c>
      <c r="G53" s="79">
        <v>2324.62</v>
      </c>
      <c r="H53" s="77">
        <f t="shared" si="17"/>
        <v>212.21847926309349</v>
      </c>
      <c r="I53" s="77">
        <f t="shared" si="18"/>
        <v>66.512732474964224</v>
      </c>
    </row>
    <row r="54" spans="1:9" ht="15" customHeight="1" x14ac:dyDescent="0.25">
      <c r="A54" s="135">
        <v>3211</v>
      </c>
      <c r="B54" s="136"/>
      <c r="C54" s="137"/>
      <c r="D54" s="142" t="s">
        <v>79</v>
      </c>
      <c r="E54" s="78"/>
      <c r="F54" s="79"/>
      <c r="G54" s="79">
        <v>60</v>
      </c>
      <c r="H54" s="77"/>
      <c r="I54" s="77"/>
    </row>
    <row r="57" spans="1:9" x14ac:dyDescent="0.25">
      <c r="A57" s="185" t="s">
        <v>38</v>
      </c>
      <c r="B57" s="200"/>
      <c r="C57" s="201"/>
      <c r="D57" s="96" t="s">
        <v>39</v>
      </c>
      <c r="E57" s="150" t="s">
        <v>119</v>
      </c>
      <c r="F57" s="95" t="s">
        <v>153</v>
      </c>
      <c r="G57" s="95" t="s">
        <v>154</v>
      </c>
      <c r="H57" s="95" t="s">
        <v>108</v>
      </c>
      <c r="I57" s="95" t="s">
        <v>109</v>
      </c>
    </row>
    <row r="58" spans="1:9" ht="25.5" customHeight="1" x14ac:dyDescent="0.25">
      <c r="A58" s="188" t="s">
        <v>137</v>
      </c>
      <c r="B58" s="189"/>
      <c r="C58" s="190"/>
      <c r="D58" s="101" t="s">
        <v>140</v>
      </c>
      <c r="E58" s="77">
        <f>E60</f>
        <v>34017.85</v>
      </c>
      <c r="F58" s="77">
        <f t="shared" ref="F58:I58" si="19">F60</f>
        <v>0</v>
      </c>
      <c r="G58" s="77">
        <f t="shared" si="19"/>
        <v>55884.73</v>
      </c>
      <c r="H58" s="77">
        <f t="shared" si="19"/>
        <v>164.28060562322429</v>
      </c>
      <c r="I58" s="77" t="e">
        <f t="shared" si="19"/>
        <v>#DIV/0!</v>
      </c>
    </row>
    <row r="59" spans="1:9" ht="15" customHeight="1" x14ac:dyDescent="0.25">
      <c r="A59" s="188" t="s">
        <v>138</v>
      </c>
      <c r="B59" s="189"/>
      <c r="C59" s="190"/>
      <c r="D59" s="40" t="s">
        <v>45</v>
      </c>
      <c r="E59" s="78"/>
      <c r="F59" s="79"/>
      <c r="G59" s="79"/>
      <c r="H59" s="77"/>
      <c r="I59" s="77"/>
    </row>
    <row r="60" spans="1:9" x14ac:dyDescent="0.25">
      <c r="A60" s="191" t="s">
        <v>66</v>
      </c>
      <c r="B60" s="192"/>
      <c r="C60" s="193"/>
      <c r="D60" s="41" t="s">
        <v>46</v>
      </c>
      <c r="E60" s="77">
        <f>E61</f>
        <v>34017.85</v>
      </c>
      <c r="F60" s="77">
        <f>F61</f>
        <v>0</v>
      </c>
      <c r="G60" s="77">
        <f>G61</f>
        <v>55884.73</v>
      </c>
      <c r="H60" s="77">
        <f t="shared" ref="H60:H61" si="20">(G60/E60)*100</f>
        <v>164.28060562322429</v>
      </c>
      <c r="I60" s="77" t="e">
        <f t="shared" ref="I60:I61" si="21">(G60/F60)*100</f>
        <v>#DIV/0!</v>
      </c>
    </row>
    <row r="61" spans="1:9" x14ac:dyDescent="0.25">
      <c r="A61" s="194">
        <v>32</v>
      </c>
      <c r="B61" s="195"/>
      <c r="C61" s="196"/>
      <c r="D61" s="39" t="s">
        <v>22</v>
      </c>
      <c r="E61" s="77">
        <v>34017.85</v>
      </c>
      <c r="F61" s="77"/>
      <c r="G61" s="77">
        <f>SUM(G62:G62)</f>
        <v>55884.73</v>
      </c>
      <c r="H61" s="77">
        <f t="shared" si="20"/>
        <v>164.28060562322429</v>
      </c>
      <c r="I61" s="77" t="e">
        <f t="shared" si="21"/>
        <v>#DIV/0!</v>
      </c>
    </row>
    <row r="62" spans="1:9" x14ac:dyDescent="0.25">
      <c r="A62" s="53">
        <v>3222</v>
      </c>
      <c r="B62" s="72"/>
      <c r="C62" s="73"/>
      <c r="D62" s="73" t="s">
        <v>77</v>
      </c>
      <c r="E62" s="80">
        <v>34017.85</v>
      </c>
      <c r="F62" s="77">
        <v>75000</v>
      </c>
      <c r="G62" s="77">
        <v>55884.73</v>
      </c>
      <c r="H62" s="77">
        <f t="shared" ref="H62" si="22">(G62/E62)*100</f>
        <v>164.28060562322429</v>
      </c>
      <c r="I62" s="77">
        <f t="shared" ref="I62" si="23">(G62/F62)*100</f>
        <v>74.512973333333335</v>
      </c>
    </row>
    <row r="65" spans="1:9" x14ac:dyDescent="0.25">
      <c r="A65" s="185" t="s">
        <v>38</v>
      </c>
      <c r="B65" s="186"/>
      <c r="C65" s="187"/>
      <c r="D65" s="138" t="s">
        <v>39</v>
      </c>
      <c r="E65" s="150" t="s">
        <v>119</v>
      </c>
      <c r="F65" s="95" t="s">
        <v>153</v>
      </c>
      <c r="G65" s="95" t="s">
        <v>154</v>
      </c>
      <c r="H65" s="95" t="s">
        <v>108</v>
      </c>
      <c r="I65" s="95" t="s">
        <v>109</v>
      </c>
    </row>
    <row r="66" spans="1:9" ht="25.5" customHeight="1" x14ac:dyDescent="0.25">
      <c r="A66" s="188" t="s">
        <v>133</v>
      </c>
      <c r="B66" s="189"/>
      <c r="C66" s="190"/>
      <c r="D66" s="101" t="s">
        <v>141</v>
      </c>
      <c r="E66" s="77">
        <f>SUM(E69:E85)</f>
        <v>13104.71</v>
      </c>
      <c r="F66" s="77">
        <f>SUM(F70,F81,F85)</f>
        <v>27500</v>
      </c>
      <c r="G66" s="77">
        <f>SUM(G70,G84)</f>
        <v>3288.58</v>
      </c>
      <c r="H66" s="77">
        <f>(G66/E66)*100</f>
        <v>25.094641544910189</v>
      </c>
      <c r="I66" s="77">
        <f>(G66/F66)*100</f>
        <v>11.958472727272728</v>
      </c>
    </row>
    <row r="67" spans="1:9" ht="15" customHeight="1" x14ac:dyDescent="0.25">
      <c r="A67" s="188" t="s">
        <v>134</v>
      </c>
      <c r="B67" s="189"/>
      <c r="C67" s="190"/>
      <c r="D67" s="43" t="s">
        <v>45</v>
      </c>
      <c r="E67" s="78"/>
      <c r="F67" s="79"/>
      <c r="G67" s="79"/>
      <c r="H67" s="77"/>
      <c r="I67" s="77"/>
    </row>
    <row r="68" spans="1:9" x14ac:dyDescent="0.25">
      <c r="A68" s="191" t="s">
        <v>69</v>
      </c>
      <c r="B68" s="192"/>
      <c r="C68" s="193"/>
      <c r="D68" s="44" t="s">
        <v>46</v>
      </c>
      <c r="E68" s="78"/>
      <c r="F68" s="79"/>
      <c r="G68" s="79"/>
      <c r="H68" s="77"/>
      <c r="I68" s="77"/>
    </row>
    <row r="69" spans="1:9" x14ac:dyDescent="0.25">
      <c r="A69" s="188">
        <v>3</v>
      </c>
      <c r="B69" s="189"/>
      <c r="C69" s="190"/>
      <c r="D69" s="134" t="s">
        <v>22</v>
      </c>
      <c r="E69" s="80"/>
      <c r="F69" s="77"/>
      <c r="G69" s="77"/>
      <c r="H69" s="77"/>
      <c r="I69" s="77"/>
    </row>
    <row r="70" spans="1:9" x14ac:dyDescent="0.25">
      <c r="A70" s="197">
        <v>32</v>
      </c>
      <c r="B70" s="198"/>
      <c r="C70" s="199"/>
      <c r="D70" s="45" t="s">
        <v>40</v>
      </c>
      <c r="E70" s="78"/>
      <c r="F70" s="79"/>
      <c r="G70" s="79"/>
      <c r="H70" s="77"/>
      <c r="I70" s="77"/>
    </row>
    <row r="71" spans="1:9" x14ac:dyDescent="0.25">
      <c r="A71" s="135">
        <v>322</v>
      </c>
      <c r="B71" s="136"/>
      <c r="C71" s="137"/>
      <c r="D71" s="142" t="s">
        <v>143</v>
      </c>
      <c r="E71" s="78"/>
      <c r="F71" s="79"/>
      <c r="G71" s="79"/>
      <c r="H71" s="77"/>
      <c r="I71" s="77"/>
    </row>
    <row r="72" spans="1:9" x14ac:dyDescent="0.25">
      <c r="A72" s="135">
        <v>3221</v>
      </c>
      <c r="B72" s="136"/>
      <c r="C72" s="137"/>
      <c r="D72" s="142" t="s">
        <v>144</v>
      </c>
      <c r="E72" s="78">
        <f>985.48</f>
        <v>985.48</v>
      </c>
      <c r="F72" s="79">
        <v>900</v>
      </c>
      <c r="G72" s="79">
        <f>580.54+94.1</f>
        <v>674.64</v>
      </c>
      <c r="H72" s="77">
        <f t="shared" ref="H67:H85" si="24">(G72/E72)*100</f>
        <v>68.458010309696789</v>
      </c>
      <c r="I72" s="77">
        <f t="shared" ref="I67:I85" si="25">(G72/F72)*100</f>
        <v>74.959999999999994</v>
      </c>
    </row>
    <row r="73" spans="1:9" x14ac:dyDescent="0.25">
      <c r="A73" s="135">
        <v>3225</v>
      </c>
      <c r="B73" s="136"/>
      <c r="C73" s="137"/>
      <c r="D73" s="142" t="s">
        <v>117</v>
      </c>
      <c r="E73" s="78"/>
      <c r="F73" s="79"/>
      <c r="G73" s="79">
        <f>1954.56+343.3</f>
        <v>2297.86</v>
      </c>
      <c r="H73" s="77"/>
      <c r="I73" s="77"/>
    </row>
    <row r="74" spans="1:9" x14ac:dyDescent="0.25">
      <c r="A74" s="135">
        <v>323</v>
      </c>
      <c r="B74" s="136"/>
      <c r="C74" s="137"/>
      <c r="D74" s="142" t="s">
        <v>145</v>
      </c>
      <c r="E74" s="78">
        <v>11585</v>
      </c>
      <c r="F74" s="79">
        <v>11500</v>
      </c>
      <c r="G74" s="79">
        <v>10250</v>
      </c>
      <c r="H74" s="77">
        <f t="shared" si="24"/>
        <v>88.476478204574889</v>
      </c>
      <c r="I74" s="77">
        <f t="shared" si="25"/>
        <v>89.130434782608688</v>
      </c>
    </row>
    <row r="75" spans="1:9" ht="25.5" x14ac:dyDescent="0.25">
      <c r="A75" s="135">
        <v>3232</v>
      </c>
      <c r="B75" s="136"/>
      <c r="C75" s="137"/>
      <c r="D75" s="142" t="s">
        <v>146</v>
      </c>
      <c r="E75" s="78"/>
      <c r="F75" s="79"/>
      <c r="G75" s="79"/>
      <c r="H75" s="77"/>
      <c r="I75" s="77"/>
    </row>
    <row r="76" spans="1:9" x14ac:dyDescent="0.25">
      <c r="A76" s="135">
        <v>3237</v>
      </c>
      <c r="B76" s="136"/>
      <c r="C76" s="137"/>
      <c r="D76" s="142" t="s">
        <v>93</v>
      </c>
      <c r="E76" s="78"/>
      <c r="F76" s="79"/>
      <c r="G76" s="79">
        <v>996</v>
      </c>
      <c r="H76" s="77"/>
      <c r="I76" s="77"/>
    </row>
    <row r="77" spans="1:9" x14ac:dyDescent="0.25">
      <c r="A77" s="135">
        <v>3239</v>
      </c>
      <c r="B77" s="136"/>
      <c r="C77" s="137"/>
      <c r="D77" s="142" t="s">
        <v>95</v>
      </c>
      <c r="E77" s="78"/>
      <c r="F77" s="79"/>
      <c r="G77" s="79"/>
      <c r="H77" s="77"/>
      <c r="I77" s="77"/>
    </row>
    <row r="78" spans="1:9" ht="25.5" x14ac:dyDescent="0.25">
      <c r="A78" s="135">
        <v>329</v>
      </c>
      <c r="B78" s="136"/>
      <c r="C78" s="137"/>
      <c r="D78" s="142" t="s">
        <v>98</v>
      </c>
      <c r="E78" s="78"/>
      <c r="F78" s="79"/>
      <c r="G78" s="79"/>
      <c r="H78" s="77"/>
      <c r="I78" s="77"/>
    </row>
    <row r="79" spans="1:9" x14ac:dyDescent="0.25">
      <c r="A79" s="135">
        <v>3295</v>
      </c>
      <c r="B79" s="136"/>
      <c r="C79" s="137"/>
      <c r="D79" s="142" t="s">
        <v>97</v>
      </c>
      <c r="E79" s="78"/>
      <c r="F79" s="79"/>
      <c r="G79" s="79"/>
      <c r="H79" s="77"/>
      <c r="I79" s="77"/>
    </row>
    <row r="80" spans="1:9" ht="25.5" x14ac:dyDescent="0.25">
      <c r="A80" s="135">
        <v>3299</v>
      </c>
      <c r="B80" s="136"/>
      <c r="C80" s="137"/>
      <c r="D80" s="142" t="s">
        <v>98</v>
      </c>
      <c r="E80" s="78">
        <f>385.05+149.18</f>
        <v>534.23</v>
      </c>
      <c r="F80" s="79">
        <f>4200+100</f>
        <v>4300</v>
      </c>
      <c r="G80" s="79">
        <f>656.58+29.52</f>
        <v>686.1</v>
      </c>
      <c r="H80" s="77">
        <f t="shared" si="24"/>
        <v>128.42783070961946</v>
      </c>
      <c r="I80" s="77">
        <f t="shared" si="25"/>
        <v>15.955813953488374</v>
      </c>
    </row>
    <row r="81" spans="1:9" ht="25.5" x14ac:dyDescent="0.25">
      <c r="A81" s="135">
        <v>37</v>
      </c>
      <c r="B81" s="136"/>
      <c r="C81" s="137"/>
      <c r="D81" s="142" t="s">
        <v>147</v>
      </c>
      <c r="E81" s="78"/>
      <c r="F81" s="79"/>
      <c r="G81" s="79"/>
      <c r="H81" s="77"/>
      <c r="I81" s="77"/>
    </row>
    <row r="82" spans="1:9" ht="25.5" x14ac:dyDescent="0.25">
      <c r="A82" s="135">
        <v>372</v>
      </c>
      <c r="B82" s="136"/>
      <c r="C82" s="137"/>
      <c r="D82" s="142" t="s">
        <v>148</v>
      </c>
      <c r="E82" s="78"/>
      <c r="F82" s="79"/>
      <c r="G82" s="79"/>
      <c r="H82" s="77"/>
      <c r="I82" s="77"/>
    </row>
    <row r="83" spans="1:9" x14ac:dyDescent="0.25">
      <c r="A83" s="135">
        <v>3722</v>
      </c>
      <c r="B83" s="136"/>
      <c r="C83" s="137"/>
      <c r="D83" s="142" t="s">
        <v>149</v>
      </c>
      <c r="E83" s="78"/>
      <c r="F83" s="79"/>
      <c r="G83" s="79"/>
      <c r="H83" s="77"/>
      <c r="I83" s="77"/>
    </row>
    <row r="84" spans="1:9" ht="25.5" x14ac:dyDescent="0.25">
      <c r="A84" s="146">
        <v>4</v>
      </c>
      <c r="B84" s="147"/>
      <c r="C84" s="148"/>
      <c r="D84" s="134" t="s">
        <v>24</v>
      </c>
      <c r="E84" s="80"/>
      <c r="F84" s="77"/>
      <c r="G84" s="77">
        <f>G85</f>
        <v>3288.58</v>
      </c>
      <c r="H84" s="77"/>
      <c r="I84" s="77"/>
    </row>
    <row r="85" spans="1:9" ht="25.5" x14ac:dyDescent="0.25">
      <c r="A85" s="135">
        <v>42</v>
      </c>
      <c r="B85" s="136"/>
      <c r="C85" s="137"/>
      <c r="D85" s="142" t="s">
        <v>24</v>
      </c>
      <c r="E85" s="78"/>
      <c r="F85" s="79">
        <v>27500</v>
      </c>
      <c r="G85" s="79">
        <v>3288.58</v>
      </c>
      <c r="H85" s="77"/>
      <c r="I85" s="77">
        <f t="shared" si="25"/>
        <v>11.958472727272728</v>
      </c>
    </row>
    <row r="86" spans="1:9" x14ac:dyDescent="0.25">
      <c r="A86" s="135">
        <v>424</v>
      </c>
      <c r="B86" s="136"/>
      <c r="C86" s="137"/>
      <c r="D86" s="142" t="s">
        <v>142</v>
      </c>
      <c r="E86" s="78"/>
      <c r="F86" s="79"/>
      <c r="G86" s="79"/>
      <c r="H86" s="77"/>
      <c r="I86" s="77"/>
    </row>
    <row r="87" spans="1:9" x14ac:dyDescent="0.25">
      <c r="A87" s="135">
        <v>4241</v>
      </c>
      <c r="B87" s="136"/>
      <c r="C87" s="137"/>
      <c r="D87" s="142" t="s">
        <v>101</v>
      </c>
      <c r="E87" s="78"/>
      <c r="F87" s="79"/>
      <c r="G87" s="79"/>
      <c r="H87" s="77"/>
      <c r="I87" s="77"/>
    </row>
    <row r="88" spans="1:9" x14ac:dyDescent="0.25">
      <c r="A88" s="97"/>
      <c r="B88" s="97"/>
      <c r="C88" s="97"/>
      <c r="D88" s="97"/>
      <c r="E88" s="98"/>
      <c r="F88" s="98"/>
      <c r="G88" s="98"/>
      <c r="H88" s="99"/>
      <c r="I88" s="99"/>
    </row>
    <row r="89" spans="1:9" ht="14.25" customHeight="1" x14ac:dyDescent="0.25"/>
    <row r="90" spans="1:9" x14ac:dyDescent="0.25">
      <c r="A90" s="185" t="s">
        <v>38</v>
      </c>
      <c r="B90" s="186"/>
      <c r="C90" s="187"/>
      <c r="D90" s="96" t="s">
        <v>39</v>
      </c>
      <c r="E90" s="150" t="s">
        <v>119</v>
      </c>
      <c r="F90" s="95" t="s">
        <v>153</v>
      </c>
      <c r="G90" s="95" t="s">
        <v>154</v>
      </c>
      <c r="H90" s="95" t="s">
        <v>108</v>
      </c>
      <c r="I90" s="95" t="s">
        <v>109</v>
      </c>
    </row>
    <row r="91" spans="1:9" ht="38.25" x14ac:dyDescent="0.25">
      <c r="A91" s="188" t="s">
        <v>135</v>
      </c>
      <c r="B91" s="189"/>
      <c r="C91" s="190"/>
      <c r="D91" s="101" t="s">
        <v>70</v>
      </c>
      <c r="E91" s="77">
        <f>E93</f>
        <v>46443.960000000006</v>
      </c>
      <c r="F91" s="77">
        <f>F93</f>
        <v>77585</v>
      </c>
      <c r="G91" s="77">
        <f t="shared" ref="G91:I91" si="26">G93</f>
        <v>44089.52</v>
      </c>
      <c r="H91" s="77">
        <f t="shared" si="26"/>
        <v>94.930578701729985</v>
      </c>
      <c r="I91" s="77">
        <f t="shared" si="26"/>
        <v>56.827376425855512</v>
      </c>
    </row>
    <row r="92" spans="1:9" x14ac:dyDescent="0.25">
      <c r="A92" s="188" t="s">
        <v>136</v>
      </c>
      <c r="B92" s="189"/>
      <c r="C92" s="190"/>
      <c r="D92" s="43" t="s">
        <v>45</v>
      </c>
      <c r="E92" s="78"/>
      <c r="F92" s="79"/>
      <c r="G92" s="79"/>
      <c r="H92" s="77"/>
      <c r="I92" s="77"/>
    </row>
    <row r="93" spans="1:9" x14ac:dyDescent="0.25">
      <c r="A93" s="191" t="s">
        <v>68</v>
      </c>
      <c r="B93" s="192"/>
      <c r="C93" s="193"/>
      <c r="D93" s="44" t="s">
        <v>46</v>
      </c>
      <c r="E93" s="77">
        <f>E94</f>
        <v>46443.960000000006</v>
      </c>
      <c r="F93" s="77">
        <f>F94</f>
        <v>77585</v>
      </c>
      <c r="G93" s="77">
        <f>G94</f>
        <v>44089.52</v>
      </c>
      <c r="H93" s="77">
        <f t="shared" ref="H93:H117" si="27">(G93/E93)*100</f>
        <v>94.930578701729985</v>
      </c>
      <c r="I93" s="77">
        <f t="shared" ref="I93:I117" si="28">(G93/F93)*100</f>
        <v>56.827376425855512</v>
      </c>
    </row>
    <row r="94" spans="1:9" x14ac:dyDescent="0.25">
      <c r="A94" s="194">
        <v>3</v>
      </c>
      <c r="B94" s="195"/>
      <c r="C94" s="196"/>
      <c r="D94" s="45" t="s">
        <v>22</v>
      </c>
      <c r="E94" s="77">
        <f>SUM(E95:E117)</f>
        <v>46443.960000000006</v>
      </c>
      <c r="F94" s="77">
        <f>SUM(F97:F117)</f>
        <v>77585</v>
      </c>
      <c r="G94" s="77">
        <f>SUM(G97:G117)</f>
        <v>44089.52</v>
      </c>
      <c r="H94" s="77">
        <f t="shared" si="27"/>
        <v>94.930578701729985</v>
      </c>
      <c r="I94" s="77">
        <f t="shared" si="28"/>
        <v>56.827376425855512</v>
      </c>
    </row>
    <row r="95" spans="1:9" x14ac:dyDescent="0.25">
      <c r="A95" s="197">
        <v>3121</v>
      </c>
      <c r="B95" s="198"/>
      <c r="C95" s="199"/>
      <c r="D95" s="45" t="s">
        <v>23</v>
      </c>
      <c r="E95" s="78"/>
      <c r="F95" s="79"/>
      <c r="G95" s="79"/>
      <c r="H95" s="77"/>
      <c r="I95" s="77"/>
    </row>
    <row r="96" spans="1:9" ht="25.5" x14ac:dyDescent="0.25">
      <c r="A96" s="68">
        <v>3132</v>
      </c>
      <c r="B96" s="69"/>
      <c r="C96" s="70"/>
      <c r="D96" s="71" t="s">
        <v>102</v>
      </c>
      <c r="E96" s="78"/>
      <c r="F96" s="79"/>
      <c r="G96" s="79"/>
      <c r="H96" s="77"/>
      <c r="I96" s="77"/>
    </row>
    <row r="97" spans="1:10" x14ac:dyDescent="0.25">
      <c r="A97" s="197">
        <v>3211</v>
      </c>
      <c r="B97" s="198"/>
      <c r="C97" s="199"/>
      <c r="D97" s="45" t="s">
        <v>79</v>
      </c>
      <c r="E97" s="78">
        <v>2516.4499999999998</v>
      </c>
      <c r="F97" s="79">
        <v>4600</v>
      </c>
      <c r="G97" s="79">
        <v>2019.1</v>
      </c>
      <c r="H97" s="77">
        <f t="shared" si="27"/>
        <v>80.236046811977189</v>
      </c>
      <c r="I97" s="77">
        <f t="shared" si="28"/>
        <v>43.893478260869564</v>
      </c>
    </row>
    <row r="98" spans="1:10" x14ac:dyDescent="0.25">
      <c r="A98" s="46">
        <v>3213</v>
      </c>
      <c r="B98" s="47"/>
      <c r="C98" s="48"/>
      <c r="D98" s="45" t="s">
        <v>81</v>
      </c>
      <c r="E98" s="78">
        <v>6100</v>
      </c>
      <c r="F98" s="79">
        <v>900</v>
      </c>
      <c r="G98" s="79">
        <v>850</v>
      </c>
      <c r="H98" s="77">
        <f t="shared" si="27"/>
        <v>13.934426229508196</v>
      </c>
      <c r="I98" s="77">
        <f t="shared" si="28"/>
        <v>94.444444444444443</v>
      </c>
    </row>
    <row r="99" spans="1:10" ht="25.5" x14ac:dyDescent="0.25">
      <c r="A99" s="60">
        <v>3214</v>
      </c>
      <c r="B99" s="61"/>
      <c r="C99" s="62"/>
      <c r="D99" s="59" t="s">
        <v>82</v>
      </c>
      <c r="E99" s="78">
        <v>2365.2199999999998</v>
      </c>
      <c r="F99" s="79">
        <v>4200</v>
      </c>
      <c r="G99" s="79">
        <v>2568.2399999999998</v>
      </c>
      <c r="H99" s="77">
        <f t="shared" si="27"/>
        <v>108.58355670931246</v>
      </c>
      <c r="I99" s="77">
        <f t="shared" si="28"/>
        <v>61.148571428571415</v>
      </c>
    </row>
    <row r="100" spans="1:10" ht="25.5" x14ac:dyDescent="0.25">
      <c r="A100" s="60">
        <v>3221</v>
      </c>
      <c r="B100" s="61"/>
      <c r="C100" s="62"/>
      <c r="D100" s="59" t="s">
        <v>104</v>
      </c>
      <c r="E100" s="78">
        <v>4279.08</v>
      </c>
      <c r="F100" s="79">
        <v>7000</v>
      </c>
      <c r="G100" s="79">
        <v>6095.84</v>
      </c>
      <c r="H100" s="77">
        <f t="shared" si="27"/>
        <v>142.45678977724182</v>
      </c>
      <c r="I100" s="77">
        <f t="shared" si="28"/>
        <v>87.083428571428584</v>
      </c>
    </row>
    <row r="101" spans="1:10" x14ac:dyDescent="0.25">
      <c r="A101" s="68">
        <v>3222</v>
      </c>
      <c r="B101" s="69"/>
      <c r="C101" s="70"/>
      <c r="D101" s="71" t="s">
        <v>84</v>
      </c>
      <c r="E101" s="78"/>
      <c r="F101" s="79"/>
      <c r="G101" s="79"/>
      <c r="H101" s="77"/>
      <c r="I101" s="77">
        <v>0</v>
      </c>
    </row>
    <row r="102" spans="1:10" x14ac:dyDescent="0.25">
      <c r="A102" s="60">
        <v>3223</v>
      </c>
      <c r="B102" s="61"/>
      <c r="C102" s="62"/>
      <c r="D102" s="59" t="s">
        <v>85</v>
      </c>
      <c r="E102" s="78">
        <v>12467.47</v>
      </c>
      <c r="F102" s="79">
        <v>23000</v>
      </c>
      <c r="G102" s="79">
        <v>12694.06</v>
      </c>
      <c r="H102" s="77">
        <f t="shared" si="27"/>
        <v>101.81744973118043</v>
      </c>
      <c r="I102" s="77">
        <f t="shared" si="28"/>
        <v>55.1915652173913</v>
      </c>
    </row>
    <row r="103" spans="1:10" ht="25.5" x14ac:dyDescent="0.25">
      <c r="A103" s="60">
        <v>3224</v>
      </c>
      <c r="B103" s="61"/>
      <c r="C103" s="62"/>
      <c r="D103" s="59" t="s">
        <v>105</v>
      </c>
      <c r="E103" s="78">
        <v>879.54</v>
      </c>
      <c r="F103" s="79">
        <v>2000</v>
      </c>
      <c r="G103" s="79">
        <v>885.64</v>
      </c>
      <c r="H103" s="77">
        <f t="shared" si="27"/>
        <v>100.69354435272983</v>
      </c>
      <c r="I103" s="77">
        <f t="shared" si="28"/>
        <v>44.281999999999996</v>
      </c>
    </row>
    <row r="104" spans="1:10" x14ac:dyDescent="0.25">
      <c r="A104" s="68">
        <v>3225</v>
      </c>
      <c r="B104" s="69"/>
      <c r="C104" s="70"/>
      <c r="D104" s="71" t="s">
        <v>117</v>
      </c>
      <c r="E104" s="78">
        <v>2644.36</v>
      </c>
      <c r="F104" s="79">
        <v>3000</v>
      </c>
      <c r="G104" s="79">
        <v>3499.88</v>
      </c>
      <c r="H104" s="77">
        <f t="shared" si="27"/>
        <v>132.35262974784067</v>
      </c>
      <c r="I104" s="77">
        <f t="shared" si="28"/>
        <v>116.66266666666667</v>
      </c>
    </row>
    <row r="105" spans="1:10" x14ac:dyDescent="0.25">
      <c r="A105" s="60">
        <v>3227</v>
      </c>
      <c r="B105" s="61"/>
      <c r="C105" s="62"/>
      <c r="D105" s="59" t="s">
        <v>87</v>
      </c>
      <c r="E105" s="78">
        <v>124.91</v>
      </c>
      <c r="F105" s="79">
        <v>500</v>
      </c>
      <c r="G105" s="79">
        <v>76.33</v>
      </c>
      <c r="H105" s="77">
        <f t="shared" si="27"/>
        <v>61.107997758386034</v>
      </c>
      <c r="I105" s="77">
        <f t="shared" si="28"/>
        <v>15.265999999999998</v>
      </c>
    </row>
    <row r="106" spans="1:10" x14ac:dyDescent="0.25">
      <c r="A106" s="60">
        <v>3231</v>
      </c>
      <c r="B106" s="61"/>
      <c r="C106" s="62"/>
      <c r="D106" s="59" t="s">
        <v>88</v>
      </c>
      <c r="E106" s="78">
        <v>1307.55</v>
      </c>
      <c r="F106" s="79">
        <v>3000</v>
      </c>
      <c r="G106" s="79">
        <v>1796.14</v>
      </c>
      <c r="H106" s="77">
        <f t="shared" si="27"/>
        <v>137.3668310963252</v>
      </c>
      <c r="I106" s="77">
        <f t="shared" si="28"/>
        <v>59.871333333333332</v>
      </c>
    </row>
    <row r="107" spans="1:10" ht="25.5" x14ac:dyDescent="0.25">
      <c r="A107" s="60">
        <v>3232</v>
      </c>
      <c r="B107" s="61"/>
      <c r="C107" s="62"/>
      <c r="D107" s="59" t="s">
        <v>106</v>
      </c>
      <c r="E107" s="78">
        <v>2129.5500000000002</v>
      </c>
      <c r="F107" s="79">
        <v>3385</v>
      </c>
      <c r="G107" s="79">
        <v>592.98</v>
      </c>
      <c r="H107" s="77">
        <f t="shared" si="27"/>
        <v>27.845319433683169</v>
      </c>
      <c r="I107" s="77">
        <f t="shared" si="28"/>
        <v>17.5178729689808</v>
      </c>
    </row>
    <row r="108" spans="1:10" x14ac:dyDescent="0.25">
      <c r="A108" s="60">
        <v>3233</v>
      </c>
      <c r="B108" s="61"/>
      <c r="C108" s="62"/>
      <c r="D108" s="59" t="s">
        <v>90</v>
      </c>
      <c r="E108" s="78"/>
      <c r="F108" s="79"/>
      <c r="G108" s="79"/>
      <c r="H108" s="77"/>
      <c r="I108" s="77"/>
    </row>
    <row r="109" spans="1:10" x14ac:dyDescent="0.25">
      <c r="A109" s="60">
        <v>3234</v>
      </c>
      <c r="B109" s="61"/>
      <c r="C109" s="62"/>
      <c r="D109" s="59" t="s">
        <v>91</v>
      </c>
      <c r="E109" s="78">
        <v>2895.44</v>
      </c>
      <c r="F109" s="79">
        <v>6800</v>
      </c>
      <c r="G109" s="79">
        <v>3829.88</v>
      </c>
      <c r="H109" s="77">
        <f>(G109/E109)*100</f>
        <v>132.27281518525683</v>
      </c>
      <c r="I109" s="77">
        <f t="shared" si="28"/>
        <v>56.321764705882359</v>
      </c>
    </row>
    <row r="110" spans="1:10" x14ac:dyDescent="0.25">
      <c r="A110" s="152">
        <v>3235</v>
      </c>
      <c r="B110" s="153"/>
      <c r="C110" s="154"/>
      <c r="D110" s="151" t="s">
        <v>152</v>
      </c>
      <c r="E110" s="78">
        <v>1956.29</v>
      </c>
      <c r="F110" s="79">
        <v>3500</v>
      </c>
      <c r="G110" s="79">
        <v>1930.64</v>
      </c>
      <c r="H110" s="77">
        <f>(G110/E110)*100</f>
        <v>98.688844700939029</v>
      </c>
      <c r="I110" s="77">
        <f t="shared" si="28"/>
        <v>55.161142857142863</v>
      </c>
    </row>
    <row r="111" spans="1:10" x14ac:dyDescent="0.25">
      <c r="A111" s="60">
        <v>3236</v>
      </c>
      <c r="B111" s="61"/>
      <c r="C111" s="62"/>
      <c r="D111" s="59" t="s">
        <v>92</v>
      </c>
      <c r="E111" s="78">
        <v>604.42999999999995</v>
      </c>
      <c r="F111" s="79">
        <v>5000</v>
      </c>
      <c r="G111" s="79">
        <v>2134.7399999999998</v>
      </c>
      <c r="H111" s="77">
        <f t="shared" si="27"/>
        <v>353.18233707790807</v>
      </c>
      <c r="I111" s="77">
        <f t="shared" si="28"/>
        <v>42.694799999999994</v>
      </c>
    </row>
    <row r="112" spans="1:10" x14ac:dyDescent="0.25">
      <c r="A112" s="60">
        <v>3237</v>
      </c>
      <c r="B112" s="61"/>
      <c r="C112" s="62"/>
      <c r="D112" s="59" t="s">
        <v>107</v>
      </c>
      <c r="E112" s="78">
        <v>3965.11</v>
      </c>
      <c r="F112" s="79">
        <v>6000</v>
      </c>
      <c r="G112" s="79">
        <v>3017.55</v>
      </c>
      <c r="H112" s="77">
        <f t="shared" si="27"/>
        <v>76.102554531904545</v>
      </c>
      <c r="I112" s="77">
        <f t="shared" si="28"/>
        <v>50.292500000000004</v>
      </c>
      <c r="J112" s="54"/>
    </row>
    <row r="113" spans="1:9" x14ac:dyDescent="0.25">
      <c r="A113" s="60">
        <v>3238</v>
      </c>
      <c r="B113" s="61"/>
      <c r="C113" s="62"/>
      <c r="D113" s="59" t="s">
        <v>94</v>
      </c>
      <c r="E113" s="78">
        <v>1265.31</v>
      </c>
      <c r="F113" s="79">
        <v>3000</v>
      </c>
      <c r="G113" s="79">
        <v>1077.07</v>
      </c>
      <c r="H113" s="77">
        <f t="shared" si="27"/>
        <v>85.123013332701078</v>
      </c>
      <c r="I113" s="77">
        <f>(G113/F113)*100</f>
        <v>35.902333333333331</v>
      </c>
    </row>
    <row r="114" spans="1:9" x14ac:dyDescent="0.25">
      <c r="A114" s="60">
        <v>3239</v>
      </c>
      <c r="B114" s="61"/>
      <c r="C114" s="62"/>
      <c r="D114" s="59" t="s">
        <v>95</v>
      </c>
      <c r="E114" s="78">
        <v>0</v>
      </c>
      <c r="F114" s="79">
        <v>500</v>
      </c>
      <c r="G114" s="79">
        <v>56.37</v>
      </c>
      <c r="H114" s="77"/>
      <c r="I114" s="77">
        <v>0</v>
      </c>
    </row>
    <row r="115" spans="1:9" x14ac:dyDescent="0.25">
      <c r="A115" s="60">
        <v>3294</v>
      </c>
      <c r="B115" s="61"/>
      <c r="C115" s="62"/>
      <c r="D115" s="59" t="s">
        <v>96</v>
      </c>
      <c r="E115" s="78">
        <v>158.09</v>
      </c>
      <c r="F115" s="79">
        <v>300</v>
      </c>
      <c r="G115" s="79">
        <v>150</v>
      </c>
      <c r="H115" s="77">
        <f t="shared" si="27"/>
        <v>94.882661774938327</v>
      </c>
      <c r="I115" s="77">
        <f t="shared" si="28"/>
        <v>50</v>
      </c>
    </row>
    <row r="116" spans="1:9" ht="25.5" x14ac:dyDescent="0.25">
      <c r="A116" s="60">
        <v>3299</v>
      </c>
      <c r="B116" s="61"/>
      <c r="C116" s="62"/>
      <c r="D116" s="59" t="s">
        <v>98</v>
      </c>
      <c r="E116" s="78">
        <v>596.08000000000004</v>
      </c>
      <c r="F116" s="79">
        <v>500</v>
      </c>
      <c r="G116" s="79">
        <v>625.84</v>
      </c>
      <c r="H116" s="77">
        <f t="shared" si="27"/>
        <v>104.99261844047778</v>
      </c>
      <c r="I116" s="77">
        <f t="shared" si="28"/>
        <v>125.16800000000001</v>
      </c>
    </row>
    <row r="117" spans="1:9" ht="15" customHeight="1" x14ac:dyDescent="0.25">
      <c r="A117" s="60">
        <v>3431</v>
      </c>
      <c r="B117" s="61"/>
      <c r="C117" s="62"/>
      <c r="D117" s="59" t="s">
        <v>99</v>
      </c>
      <c r="E117" s="78">
        <v>189.08</v>
      </c>
      <c r="F117" s="79">
        <v>400</v>
      </c>
      <c r="G117" s="79">
        <v>189.22</v>
      </c>
      <c r="H117" s="77">
        <f t="shared" si="27"/>
        <v>100.07404273323459</v>
      </c>
      <c r="I117" s="77">
        <f t="shared" si="28"/>
        <v>47.305</v>
      </c>
    </row>
    <row r="120" spans="1:9" x14ac:dyDescent="0.25">
      <c r="A120" s="185" t="s">
        <v>38</v>
      </c>
      <c r="B120" s="186"/>
      <c r="C120" s="187"/>
      <c r="D120" s="138" t="s">
        <v>39</v>
      </c>
      <c r="E120" s="150" t="s">
        <v>119</v>
      </c>
      <c r="F120" s="95" t="s">
        <v>153</v>
      </c>
      <c r="G120" s="95" t="s">
        <v>154</v>
      </c>
      <c r="H120" s="95" t="s">
        <v>108</v>
      </c>
      <c r="I120" s="95" t="s">
        <v>109</v>
      </c>
    </row>
    <row r="121" spans="1:9" ht="25.5" x14ac:dyDescent="0.25">
      <c r="A121" s="188" t="s">
        <v>151</v>
      </c>
      <c r="B121" s="189"/>
      <c r="C121" s="190"/>
      <c r="D121" s="134" t="s">
        <v>150</v>
      </c>
      <c r="E121" s="77">
        <f>E125</f>
        <v>0</v>
      </c>
      <c r="F121" s="77">
        <f>F125</f>
        <v>0</v>
      </c>
      <c r="G121" s="77">
        <f>SUM(G126,G140)</f>
        <v>0</v>
      </c>
      <c r="H121" s="77" t="e">
        <f>G121/E121*100</f>
        <v>#DIV/0!</v>
      </c>
      <c r="I121" s="77" t="e">
        <f>G121/F121*100</f>
        <v>#DIV/0!</v>
      </c>
    </row>
    <row r="122" spans="1:9" x14ac:dyDescent="0.25">
      <c r="A122" s="188" t="s">
        <v>134</v>
      </c>
      <c r="B122" s="189"/>
      <c r="C122" s="190"/>
      <c r="D122" s="134" t="s">
        <v>45</v>
      </c>
      <c r="E122" s="78"/>
      <c r="F122" s="79"/>
      <c r="G122" s="79"/>
      <c r="H122" s="77"/>
      <c r="I122" s="77"/>
    </row>
    <row r="123" spans="1:9" x14ac:dyDescent="0.25">
      <c r="A123" s="191" t="s">
        <v>69</v>
      </c>
      <c r="B123" s="192"/>
      <c r="C123" s="193"/>
      <c r="D123" s="140" t="s">
        <v>46</v>
      </c>
      <c r="E123" s="78"/>
      <c r="F123" s="79"/>
      <c r="G123" s="79"/>
      <c r="H123" s="77"/>
      <c r="I123" s="77"/>
    </row>
    <row r="124" spans="1:9" x14ac:dyDescent="0.25">
      <c r="A124" s="149">
        <v>3</v>
      </c>
      <c r="B124" s="139"/>
      <c r="C124" s="140"/>
      <c r="D124" s="142" t="s">
        <v>22</v>
      </c>
      <c r="E124" s="78"/>
      <c r="F124" s="79"/>
      <c r="G124" s="79"/>
      <c r="H124" s="77"/>
      <c r="I124" s="77"/>
    </row>
    <row r="125" spans="1:9" ht="25.5" x14ac:dyDescent="0.25">
      <c r="A125" s="135">
        <v>37</v>
      </c>
      <c r="B125" s="136"/>
      <c r="C125" s="137"/>
      <c r="D125" s="142" t="s">
        <v>147</v>
      </c>
      <c r="E125" s="78"/>
      <c r="F125" s="79"/>
      <c r="G125" s="79"/>
      <c r="H125" s="77" t="e">
        <f t="shared" ref="H125" si="29">G125/E125*100</f>
        <v>#DIV/0!</v>
      </c>
      <c r="I125" s="77" t="e">
        <f t="shared" ref="I125" si="30">G125/F125*100</f>
        <v>#DIV/0!</v>
      </c>
    </row>
    <row r="126" spans="1:9" ht="25.5" x14ac:dyDescent="0.25">
      <c r="A126" s="135">
        <v>372</v>
      </c>
      <c r="B126" s="136"/>
      <c r="C126" s="137"/>
      <c r="D126" s="142" t="s">
        <v>148</v>
      </c>
      <c r="E126" s="78"/>
      <c r="F126" s="79"/>
      <c r="G126" s="79"/>
      <c r="H126" s="77"/>
      <c r="I126" s="77"/>
    </row>
    <row r="127" spans="1:9" x14ac:dyDescent="0.25">
      <c r="A127" s="135">
        <v>3722</v>
      </c>
      <c r="B127" s="136"/>
      <c r="C127" s="137"/>
      <c r="D127" s="142" t="s">
        <v>149</v>
      </c>
      <c r="E127" s="78"/>
      <c r="F127" s="79">
        <v>8400</v>
      </c>
      <c r="G127" s="79"/>
      <c r="H127" s="77"/>
      <c r="I127" s="77"/>
    </row>
  </sheetData>
  <mergeCells count="52">
    <mergeCell ref="A121:C121"/>
    <mergeCell ref="A122:C122"/>
    <mergeCell ref="A123:C123"/>
    <mergeCell ref="A120:C120"/>
    <mergeCell ref="A67:C67"/>
    <mergeCell ref="A68:C68"/>
    <mergeCell ref="A69:C69"/>
    <mergeCell ref="A95:C95"/>
    <mergeCell ref="A97:C97"/>
    <mergeCell ref="A70:C70"/>
    <mergeCell ref="A90:C90"/>
    <mergeCell ref="A91:C91"/>
    <mergeCell ref="A92:C92"/>
    <mergeCell ref="A93:C93"/>
    <mergeCell ref="A94:C94"/>
    <mergeCell ref="A65:C65"/>
    <mergeCell ref="A66:C66"/>
    <mergeCell ref="A52:C52"/>
    <mergeCell ref="A45:C45"/>
    <mergeCell ref="A46:C46"/>
    <mergeCell ref="A47:C47"/>
    <mergeCell ref="A48:C48"/>
    <mergeCell ref="A49:C49"/>
    <mergeCell ref="A50:C50"/>
    <mergeCell ref="A57:C57"/>
    <mergeCell ref="A58:C58"/>
    <mergeCell ref="A59:C59"/>
    <mergeCell ref="A60:C60"/>
    <mergeCell ref="A61:C61"/>
    <mergeCell ref="A20:C20"/>
    <mergeCell ref="A21:C21"/>
    <mergeCell ref="A22:C22"/>
    <mergeCell ref="A23:C23"/>
    <mergeCell ref="A35:C35"/>
    <mergeCell ref="A36:C36"/>
    <mergeCell ref="A37:C37"/>
    <mergeCell ref="A39:C39"/>
    <mergeCell ref="A24:C24"/>
    <mergeCell ref="A25:C25"/>
    <mergeCell ref="A32:C32"/>
    <mergeCell ref="A33:C33"/>
    <mergeCell ref="A34:C34"/>
    <mergeCell ref="A19:C19"/>
    <mergeCell ref="A6:C6"/>
    <mergeCell ref="A7:C7"/>
    <mergeCell ref="A1:I1"/>
    <mergeCell ref="A3:I3"/>
    <mergeCell ref="A5:C5"/>
    <mergeCell ref="A8:C8"/>
    <mergeCell ref="A9:C9"/>
    <mergeCell ref="A13:C13"/>
    <mergeCell ref="A10:C10"/>
  </mergeCells>
  <pageMargins left="0.7" right="0.7" top="0.75" bottom="0.75" header="0.3" footer="0.3"/>
  <pageSetup paperSize="9" scale="70" fitToWidth="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2025-02-14T07:27:44Z</cp:lastPrinted>
  <dcterms:created xsi:type="dcterms:W3CDTF">2022-08-12T12:51:27Z</dcterms:created>
  <dcterms:modified xsi:type="dcterms:W3CDTF">2025-07-15T07:19:19Z</dcterms:modified>
</cp:coreProperties>
</file>